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120" yWindow="-120" windowWidth="20730" windowHeight="11160" tabRatio="842"/>
  </bookViews>
  <sheets>
    <sheet name="01_PLANILHA_ADEQUAÇÃO" sheetId="18" r:id="rId1"/>
    <sheet name="02_COMPOSIÇÕES_UNITÁRIAS " sheetId="19" r:id="rId2"/>
    <sheet name="EQUILÍBRIO_FINANCEIRO" sheetId="21" r:id="rId3"/>
    <sheet name="CRONOGRAMA." sheetId="13" state="hidden" r:id="rId4"/>
  </sheets>
  <definedNames>
    <definedName name="_xlnm.Print_Area" localSheetId="0">'01_PLANILHA_ADEQUAÇÃO'!$A$1:$M$103</definedName>
    <definedName name="_xlnm.Print_Area" localSheetId="1">'02_COMPOSIÇÕES_UNITÁRIAS '!$A$1:$J$83</definedName>
    <definedName name="_xlnm.Print_Area" localSheetId="3">CRONOGRAMA.!$A$1:$G$39</definedName>
    <definedName name="_xlnm.Print_Area" localSheetId="2">EQUILÍBRIO_FINANCEIRO!$A$1:$K$106</definedName>
    <definedName name="CODIGOS" localSheetId="0">#REF!</definedName>
    <definedName name="CODIGOS" localSheetId="3">#REF!</definedName>
    <definedName name="CODIGOS">#REF!</definedName>
    <definedName name="_xlnm.Print_Titles" localSheetId="0">'01_PLANILHA_ADEQUAÇÃO'!$8:$11</definedName>
    <definedName name="_xlnm.Print_Titles" localSheetId="3">CRONOGRAMA.!$1:$11</definedName>
    <definedName name="valor_insumo" localSheetId="0">#REF!</definedName>
    <definedName name="valor_insumo" localSheetId="3">#REF!</definedName>
    <definedName name="valor_insumo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6" i="21" l="1"/>
  <c r="J96" i="21"/>
  <c r="L37" i="18" l="1"/>
  <c r="L38" i="18"/>
  <c r="L39" i="18"/>
  <c r="L40" i="18"/>
  <c r="L41" i="18"/>
  <c r="L42" i="18"/>
  <c r="L43" i="18"/>
  <c r="L44" i="18"/>
  <c r="L45" i="18"/>
  <c r="L46" i="18"/>
  <c r="L47" i="18"/>
  <c r="O48" i="18"/>
  <c r="K84" i="18"/>
  <c r="K85" i="18"/>
  <c r="K86" i="18"/>
  <c r="K87" i="18"/>
  <c r="K88" i="18"/>
  <c r="K89" i="18"/>
  <c r="K90" i="18"/>
  <c r="K91" i="18"/>
  <c r="K92" i="18"/>
  <c r="K83" i="18"/>
  <c r="K81" i="18"/>
  <c r="K79" i="18"/>
  <c r="K78" i="18"/>
  <c r="K66" i="18"/>
  <c r="K67" i="18"/>
  <c r="K68" i="18"/>
  <c r="K69" i="18"/>
  <c r="K70" i="18"/>
  <c r="K71" i="18"/>
  <c r="K72" i="18"/>
  <c r="K73" i="18"/>
  <c r="K74" i="18"/>
  <c r="K75" i="18"/>
  <c r="K76" i="18"/>
  <c r="K65" i="18"/>
  <c r="K64" i="18" s="1"/>
  <c r="K63" i="18"/>
  <c r="K61" i="18" s="1"/>
  <c r="K62" i="18"/>
  <c r="K58" i="18"/>
  <c r="K59" i="18"/>
  <c r="K60" i="18"/>
  <c r="K57" i="18"/>
  <c r="K53" i="18"/>
  <c r="K54" i="18"/>
  <c r="K55" i="18"/>
  <c r="K52" i="18"/>
  <c r="K50" i="18"/>
  <c r="K49" i="18"/>
  <c r="K38" i="18"/>
  <c r="K39" i="18"/>
  <c r="K40" i="18"/>
  <c r="K36" i="18" s="1"/>
  <c r="K41" i="18"/>
  <c r="K42" i="18"/>
  <c r="K43" i="18"/>
  <c r="K44" i="18"/>
  <c r="K45" i="18"/>
  <c r="K46" i="18"/>
  <c r="K47" i="18"/>
  <c r="K37" i="18"/>
  <c r="K26" i="18"/>
  <c r="K27" i="18"/>
  <c r="K28" i="18"/>
  <c r="K29" i="18"/>
  <c r="K30" i="18"/>
  <c r="K31" i="18"/>
  <c r="K32" i="18"/>
  <c r="K33" i="18"/>
  <c r="K34" i="18"/>
  <c r="K35" i="18"/>
  <c r="K25" i="18"/>
  <c r="K15" i="18"/>
  <c r="K16" i="18"/>
  <c r="K17" i="18"/>
  <c r="K13" i="18" s="1"/>
  <c r="K12" i="18" s="1"/>
  <c r="K18" i="18"/>
  <c r="K19" i="18"/>
  <c r="K20" i="18"/>
  <c r="K21" i="18"/>
  <c r="K22" i="18"/>
  <c r="K14" i="18"/>
  <c r="I84" i="18"/>
  <c r="I85" i="18"/>
  <c r="I86" i="18"/>
  <c r="I87" i="18"/>
  <c r="I88" i="18"/>
  <c r="I89" i="18"/>
  <c r="I90" i="18"/>
  <c r="I91" i="18"/>
  <c r="I92" i="18"/>
  <c r="I83" i="18"/>
  <c r="I81" i="18"/>
  <c r="I80" i="18" s="1"/>
  <c r="I79" i="18"/>
  <c r="I78" i="18"/>
  <c r="I66" i="18"/>
  <c r="I67" i="18"/>
  <c r="I68" i="18"/>
  <c r="I69" i="18"/>
  <c r="I70" i="18"/>
  <c r="I71" i="18"/>
  <c r="I72" i="18"/>
  <c r="I73" i="18"/>
  <c r="I74" i="18"/>
  <c r="I75" i="18"/>
  <c r="I76" i="18"/>
  <c r="I65" i="18"/>
  <c r="I63" i="18"/>
  <c r="I62" i="18"/>
  <c r="I58" i="18"/>
  <c r="I59" i="18"/>
  <c r="I60" i="18"/>
  <c r="I57" i="18"/>
  <c r="I53" i="18"/>
  <c r="I54" i="18"/>
  <c r="I55" i="18"/>
  <c r="I52" i="18"/>
  <c r="I50" i="18"/>
  <c r="I49" i="18"/>
  <c r="I38" i="18"/>
  <c r="I39" i="18"/>
  <c r="I40" i="18"/>
  <c r="I41" i="18"/>
  <c r="I42" i="18"/>
  <c r="I43" i="18"/>
  <c r="I44" i="18"/>
  <c r="I45" i="18"/>
  <c r="I46" i="18"/>
  <c r="I47" i="18"/>
  <c r="I37" i="18"/>
  <c r="I26" i="18"/>
  <c r="I27" i="18"/>
  <c r="I28" i="18"/>
  <c r="I29" i="18"/>
  <c r="I30" i="18"/>
  <c r="I31" i="18"/>
  <c r="I32" i="18"/>
  <c r="I33" i="18"/>
  <c r="I34" i="18"/>
  <c r="I35" i="18"/>
  <c r="I25" i="18"/>
  <c r="I15" i="18"/>
  <c r="I16" i="18"/>
  <c r="I17" i="18"/>
  <c r="I18" i="18"/>
  <c r="I19" i="18"/>
  <c r="I20" i="18"/>
  <c r="I21" i="18"/>
  <c r="I22" i="18"/>
  <c r="I14" i="18"/>
  <c r="H52" i="18"/>
  <c r="H53" i="18"/>
  <c r="H55" i="18"/>
  <c r="H67" i="18"/>
  <c r="H83" i="18"/>
  <c r="H85" i="18"/>
  <c r="H87" i="18"/>
  <c r="H88" i="18"/>
  <c r="K80" i="18"/>
  <c r="K77" i="18"/>
  <c r="K56" i="18"/>
  <c r="I56" i="18"/>
  <c r="K51" i="18"/>
  <c r="G80" i="18"/>
  <c r="G77" i="18"/>
  <c r="G64" i="18"/>
  <c r="G61" i="18"/>
  <c r="G56" i="18"/>
  <c r="G51" i="18"/>
  <c r="G48" i="18"/>
  <c r="G36" i="18"/>
  <c r="G24" i="18"/>
  <c r="G12" i="18"/>
  <c r="G13" i="18"/>
  <c r="K82" i="18" l="1"/>
  <c r="K48" i="18"/>
  <c r="K24" i="18"/>
  <c r="I77" i="18"/>
  <c r="I61" i="18"/>
  <c r="I13" i="18"/>
  <c r="I12" i="18" s="1"/>
  <c r="K23" i="18"/>
  <c r="G23" i="18"/>
  <c r="K94" i="18" l="1"/>
  <c r="J98" i="18" s="1"/>
  <c r="D101" i="18" s="1"/>
  <c r="I51" i="18" l="1"/>
  <c r="I48" i="18"/>
  <c r="G95" i="21"/>
  <c r="A86" i="21"/>
  <c r="C86" i="21"/>
  <c r="A87" i="21"/>
  <c r="C87" i="21"/>
  <c r="A88" i="21"/>
  <c r="C88" i="21"/>
  <c r="A89" i="21"/>
  <c r="C89" i="21"/>
  <c r="A90" i="21"/>
  <c r="C90" i="21"/>
  <c r="A91" i="21"/>
  <c r="C91" i="21"/>
  <c r="A92" i="21"/>
  <c r="C92" i="21"/>
  <c r="A93" i="21"/>
  <c r="C93" i="21"/>
  <c r="A94" i="21"/>
  <c r="C94" i="21"/>
  <c r="C85" i="21"/>
  <c r="A85" i="21"/>
  <c r="I64" i="18"/>
  <c r="I24" i="18"/>
  <c r="L88" i="18"/>
  <c r="L87" i="18"/>
  <c r="L84" i="18"/>
  <c r="L86" i="18"/>
  <c r="L89" i="18"/>
  <c r="L90" i="18"/>
  <c r="L91" i="18"/>
  <c r="L92" i="18"/>
  <c r="I93" i="18"/>
  <c r="K93" i="18"/>
  <c r="G63" i="19"/>
  <c r="G57" i="19"/>
  <c r="G56" i="19"/>
  <c r="G55" i="19"/>
  <c r="G49" i="19"/>
  <c r="G48" i="19"/>
  <c r="G47" i="19"/>
  <c r="G40" i="19"/>
  <c r="G39" i="19"/>
  <c r="G38" i="19"/>
  <c r="G32" i="19"/>
  <c r="G58" i="19" l="1"/>
  <c r="L85" i="18"/>
  <c r="G50" i="19"/>
  <c r="G41" i="19"/>
  <c r="G13" i="19"/>
  <c r="I36" i="18" l="1"/>
  <c r="H83" i="21"/>
  <c r="H81" i="21"/>
  <c r="H80" i="21"/>
  <c r="H78" i="21"/>
  <c r="H77" i="21"/>
  <c r="H76" i="21"/>
  <c r="H75" i="21"/>
  <c r="H74" i="21"/>
  <c r="H73" i="21"/>
  <c r="H72" i="21"/>
  <c r="H71" i="21"/>
  <c r="H70" i="21"/>
  <c r="H69" i="21"/>
  <c r="H68" i="21"/>
  <c r="H67" i="21"/>
  <c r="H65" i="21"/>
  <c r="H64" i="21"/>
  <c r="H62" i="21"/>
  <c r="H61" i="21"/>
  <c r="H60" i="21"/>
  <c r="H59" i="21"/>
  <c r="H57" i="21"/>
  <c r="H56" i="21"/>
  <c r="H55" i="21"/>
  <c r="H54" i="21"/>
  <c r="H52" i="21"/>
  <c r="H51" i="21"/>
  <c r="H49" i="21"/>
  <c r="H48" i="21"/>
  <c r="H47" i="21"/>
  <c r="H46" i="21"/>
  <c r="H45" i="21"/>
  <c r="H44" i="21"/>
  <c r="H43" i="21"/>
  <c r="H42" i="21"/>
  <c r="H41" i="21"/>
  <c r="H40" i="21"/>
  <c r="H39" i="21"/>
  <c r="H17" i="21"/>
  <c r="H18" i="21"/>
  <c r="H19" i="21"/>
  <c r="H20" i="21"/>
  <c r="H21" i="21"/>
  <c r="H22" i="21"/>
  <c r="H23" i="21"/>
  <c r="H24" i="21"/>
  <c r="H28" i="21"/>
  <c r="H29" i="21"/>
  <c r="H30" i="21"/>
  <c r="H31" i="21"/>
  <c r="H32" i="21"/>
  <c r="H33" i="21"/>
  <c r="H34" i="21"/>
  <c r="H35" i="21"/>
  <c r="H36" i="21"/>
  <c r="H37" i="21"/>
  <c r="F17" i="21"/>
  <c r="F18" i="21"/>
  <c r="F19" i="21"/>
  <c r="F20" i="21"/>
  <c r="F21" i="21"/>
  <c r="F22" i="21"/>
  <c r="F23" i="21"/>
  <c r="F24" i="21"/>
  <c r="F27" i="21"/>
  <c r="F28" i="21"/>
  <c r="F29" i="21"/>
  <c r="F30" i="21"/>
  <c r="F31" i="21"/>
  <c r="F32" i="21"/>
  <c r="F33" i="21"/>
  <c r="F34" i="21"/>
  <c r="F35" i="21"/>
  <c r="F36" i="21"/>
  <c r="F37" i="21"/>
  <c r="F39" i="21"/>
  <c r="F40" i="21"/>
  <c r="F41" i="21"/>
  <c r="F42" i="21"/>
  <c r="F43" i="21"/>
  <c r="F44" i="21"/>
  <c r="F45" i="21"/>
  <c r="F46" i="21"/>
  <c r="F47" i="21"/>
  <c r="F48" i="21"/>
  <c r="F49" i="21"/>
  <c r="F51" i="21"/>
  <c r="F52" i="21"/>
  <c r="F54" i="21"/>
  <c r="F55" i="21"/>
  <c r="F56" i="21"/>
  <c r="F57" i="21"/>
  <c r="F59" i="21"/>
  <c r="F60" i="21"/>
  <c r="F61" i="21"/>
  <c r="F62" i="21"/>
  <c r="F64" i="21"/>
  <c r="F65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80" i="21"/>
  <c r="F81" i="21"/>
  <c r="F83" i="21"/>
  <c r="F16" i="21"/>
  <c r="A7" i="13"/>
  <c r="A6" i="13"/>
  <c r="A4" i="13"/>
  <c r="A8" i="13"/>
  <c r="A6" i="21"/>
  <c r="A5" i="21"/>
  <c r="A3" i="21"/>
  <c r="L83" i="18"/>
  <c r="L79" i="18"/>
  <c r="J81" i="21" s="1"/>
  <c r="L78" i="18"/>
  <c r="J80" i="21" s="1"/>
  <c r="L76" i="18"/>
  <c r="J78" i="21" s="1"/>
  <c r="L75" i="18"/>
  <c r="J77" i="21" s="1"/>
  <c r="L74" i="18"/>
  <c r="J76" i="21" s="1"/>
  <c r="L73" i="18"/>
  <c r="J75" i="21" s="1"/>
  <c r="L72" i="18"/>
  <c r="J74" i="21" s="1"/>
  <c r="L71" i="18"/>
  <c r="M71" i="18" s="1"/>
  <c r="L70" i="18"/>
  <c r="M70" i="18" s="1"/>
  <c r="L69" i="18"/>
  <c r="M69" i="18" s="1"/>
  <c r="L68" i="18"/>
  <c r="K70" i="21" s="1"/>
  <c r="L67" i="18"/>
  <c r="M67" i="18" s="1"/>
  <c r="L66" i="18"/>
  <c r="M66" i="18" s="1"/>
  <c r="L65" i="18"/>
  <c r="J67" i="21" s="1"/>
  <c r="L60" i="18"/>
  <c r="J62" i="21" s="1"/>
  <c r="L59" i="18"/>
  <c r="M59" i="18" s="1"/>
  <c r="L58" i="18"/>
  <c r="M58" i="18" s="1"/>
  <c r="L57" i="18"/>
  <c r="K59" i="21" s="1"/>
  <c r="L50" i="18"/>
  <c r="J52" i="21" s="1"/>
  <c r="L49" i="18"/>
  <c r="J51" i="21" s="1"/>
  <c r="J49" i="21"/>
  <c r="K48" i="21"/>
  <c r="M45" i="18"/>
  <c r="M44" i="18"/>
  <c r="M43" i="18"/>
  <c r="M42" i="18"/>
  <c r="M41" i="18"/>
  <c r="M40" i="18"/>
  <c r="J41" i="21"/>
  <c r="J40" i="21"/>
  <c r="M37" i="18"/>
  <c r="L35" i="18"/>
  <c r="J37" i="21" s="1"/>
  <c r="L34" i="18"/>
  <c r="K36" i="21" s="1"/>
  <c r="L33" i="18"/>
  <c r="M33" i="18" s="1"/>
  <c r="L32" i="18"/>
  <c r="K34" i="21" s="1"/>
  <c r="L31" i="18"/>
  <c r="M31" i="18" s="1"/>
  <c r="L30" i="18"/>
  <c r="M30" i="18" s="1"/>
  <c r="L29" i="18"/>
  <c r="M29" i="18" s="1"/>
  <c r="L28" i="18"/>
  <c r="M28" i="18" s="1"/>
  <c r="L27" i="18"/>
  <c r="M27" i="18" s="1"/>
  <c r="L26" i="18"/>
  <c r="M26" i="18" s="1"/>
  <c r="L25" i="18"/>
  <c r="J27" i="21" s="1"/>
  <c r="L15" i="18"/>
  <c r="J17" i="21" s="1"/>
  <c r="L16" i="18"/>
  <c r="M16" i="18" s="1"/>
  <c r="L17" i="18"/>
  <c r="J19" i="21" s="1"/>
  <c r="L18" i="18"/>
  <c r="J20" i="21" s="1"/>
  <c r="L19" i="18"/>
  <c r="M19" i="18" s="1"/>
  <c r="L20" i="18"/>
  <c r="M20" i="18" s="1"/>
  <c r="L21" i="18"/>
  <c r="M21" i="18" s="1"/>
  <c r="L22" i="18"/>
  <c r="M22" i="18" s="1"/>
  <c r="G15" i="18"/>
  <c r="G16" i="18"/>
  <c r="G17" i="18"/>
  <c r="G18" i="18"/>
  <c r="G19" i="18"/>
  <c r="G20" i="18"/>
  <c r="G21" i="18"/>
  <c r="G22" i="18"/>
  <c r="G25" i="18"/>
  <c r="G26" i="18"/>
  <c r="G27" i="18"/>
  <c r="G28" i="18"/>
  <c r="G29" i="18"/>
  <c r="G30" i="18"/>
  <c r="G31" i="18"/>
  <c r="G32" i="18"/>
  <c r="G33" i="18"/>
  <c r="G34" i="18"/>
  <c r="G35" i="18"/>
  <c r="G37" i="18"/>
  <c r="G38" i="18"/>
  <c r="G39" i="18"/>
  <c r="G40" i="18"/>
  <c r="G41" i="18"/>
  <c r="G42" i="18"/>
  <c r="G43" i="18"/>
  <c r="G44" i="18"/>
  <c r="G45" i="18"/>
  <c r="G46" i="18"/>
  <c r="G47" i="18"/>
  <c r="G49" i="18"/>
  <c r="G50" i="18"/>
  <c r="G52" i="18"/>
  <c r="G53" i="18"/>
  <c r="G54" i="18"/>
  <c r="G55" i="18"/>
  <c r="G57" i="18"/>
  <c r="G58" i="18"/>
  <c r="G59" i="18"/>
  <c r="G60" i="18"/>
  <c r="G62" i="18"/>
  <c r="G63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8" i="18"/>
  <c r="G79" i="18"/>
  <c r="G81" i="18"/>
  <c r="G83" i="18"/>
  <c r="G14" i="18"/>
  <c r="I23" i="18" l="1"/>
  <c r="F14" i="21"/>
  <c r="F25" i="21"/>
  <c r="J61" i="21"/>
  <c r="K24" i="21"/>
  <c r="J28" i="21"/>
  <c r="J73" i="21"/>
  <c r="M74" i="18"/>
  <c r="K71" i="21"/>
  <c r="M75" i="18"/>
  <c r="J68" i="21"/>
  <c r="M76" i="18"/>
  <c r="M79" i="18"/>
  <c r="K60" i="21"/>
  <c r="J32" i="21"/>
  <c r="J31" i="21"/>
  <c r="J29" i="21"/>
  <c r="J18" i="21"/>
  <c r="K46" i="21"/>
  <c r="J45" i="21"/>
  <c r="M39" i="18"/>
  <c r="J44" i="21"/>
  <c r="J69" i="21"/>
  <c r="M60" i="18"/>
  <c r="J42" i="21"/>
  <c r="J33" i="21"/>
  <c r="M32" i="18"/>
  <c r="M18" i="18"/>
  <c r="M46" i="18"/>
  <c r="M17" i="18"/>
  <c r="M34" i="18"/>
  <c r="M47" i="18"/>
  <c r="M35" i="18"/>
  <c r="M49" i="18"/>
  <c r="M65" i="18"/>
  <c r="M78" i="18"/>
  <c r="K72" i="21"/>
  <c r="J43" i="21"/>
  <c r="J30" i="21"/>
  <c r="M38" i="18"/>
  <c r="M25" i="18"/>
  <c r="J39" i="21"/>
  <c r="K23" i="21"/>
  <c r="M50" i="18"/>
  <c r="M68" i="18"/>
  <c r="M57" i="18"/>
  <c r="K22" i="21"/>
  <c r="M15" i="18"/>
  <c r="M72" i="18"/>
  <c r="J21" i="21"/>
  <c r="M73" i="18"/>
  <c r="K47" i="21"/>
  <c r="K80" i="21"/>
  <c r="K20" i="21"/>
  <c r="J59" i="21"/>
  <c r="J48" i="21"/>
  <c r="J36" i="21"/>
  <c r="K81" i="21"/>
  <c r="J70" i="21"/>
  <c r="J34" i="21"/>
  <c r="K67" i="21"/>
  <c r="K19" i="21"/>
  <c r="K78" i="21"/>
  <c r="K77" i="21"/>
  <c r="K41" i="21"/>
  <c r="K17" i="21"/>
  <c r="K76" i="21"/>
  <c r="K52" i="21"/>
  <c r="K40" i="21"/>
  <c r="K75" i="21"/>
  <c r="K51" i="21"/>
  <c r="K27" i="21"/>
  <c r="K74" i="21"/>
  <c r="K62" i="21"/>
  <c r="K49" i="21"/>
  <c r="K37" i="21"/>
  <c r="H16" i="21"/>
  <c r="H14" i="21" s="1"/>
  <c r="H96" i="21" s="1"/>
  <c r="H27" i="21"/>
  <c r="H25" i="21" s="1"/>
  <c r="M36" i="18" l="1"/>
  <c r="M24" i="18"/>
  <c r="M64" i="18"/>
  <c r="C29" i="13"/>
  <c r="M77" i="18"/>
  <c r="M56" i="18"/>
  <c r="M48" i="18"/>
  <c r="J71" i="21"/>
  <c r="J24" i="21"/>
  <c r="F96" i="21"/>
  <c r="K29" i="21"/>
  <c r="K39" i="21"/>
  <c r="C23" i="13"/>
  <c r="F22" i="13" s="1"/>
  <c r="K73" i="21"/>
  <c r="K18" i="21"/>
  <c r="K28" i="21"/>
  <c r="K68" i="21"/>
  <c r="J22" i="21"/>
  <c r="K69" i="21"/>
  <c r="J60" i="21"/>
  <c r="C19" i="13"/>
  <c r="E18" i="13" s="1"/>
  <c r="J23" i="21"/>
  <c r="K32" i="21"/>
  <c r="K45" i="21"/>
  <c r="K61" i="21"/>
  <c r="K43" i="21"/>
  <c r="K31" i="21"/>
  <c r="K44" i="21"/>
  <c r="K42" i="21"/>
  <c r="J72" i="21"/>
  <c r="K33" i="21"/>
  <c r="J46" i="21"/>
  <c r="J47" i="21"/>
  <c r="C17" i="13"/>
  <c r="G16" i="13" s="1"/>
  <c r="K35" i="21"/>
  <c r="J35" i="21"/>
  <c r="G29" i="13"/>
  <c r="G28" i="13" s="1"/>
  <c r="E28" i="13"/>
  <c r="F28" i="13"/>
  <c r="D28" i="13"/>
  <c r="E22" i="13"/>
  <c r="C27" i="13"/>
  <c r="K30" i="21"/>
  <c r="K21" i="21"/>
  <c r="C15" i="13"/>
  <c r="G23" i="13" l="1"/>
  <c r="G22" i="13" s="1"/>
  <c r="D22" i="13"/>
  <c r="D18" i="13"/>
  <c r="G18" i="13"/>
  <c r="F18" i="13"/>
  <c r="F16" i="13"/>
  <c r="E17" i="13"/>
  <c r="E16" i="13" s="1"/>
  <c r="D16" i="13"/>
  <c r="F27" i="13"/>
  <c r="E26" i="13"/>
  <c r="D26" i="13"/>
  <c r="D15" i="13"/>
  <c r="D14" i="13" s="1"/>
  <c r="G14" i="13"/>
  <c r="E14" i="13"/>
  <c r="F14" i="13"/>
  <c r="H98" i="21"/>
  <c r="F26" i="13" l="1"/>
  <c r="G27" i="13"/>
  <c r="G26" i="13" s="1"/>
  <c r="G78" i="19"/>
  <c r="G77" i="19"/>
  <c r="G76" i="19"/>
  <c r="G75" i="19"/>
  <c r="G64" i="19" l="1"/>
  <c r="G65" i="19" s="1"/>
  <c r="G66" i="19" s="1"/>
  <c r="G79" i="19"/>
  <c r="G20" i="19"/>
  <c r="G69" i="19"/>
  <c r="G70" i="19" s="1"/>
  <c r="G59" i="19"/>
  <c r="G60" i="19" s="1"/>
  <c r="G51" i="19"/>
  <c r="G52" i="19" s="1"/>
  <c r="G42" i="19"/>
  <c r="G43" i="19" s="1"/>
  <c r="G33" i="19"/>
  <c r="G34" i="19" s="1"/>
  <c r="G35" i="19" s="1"/>
  <c r="G26" i="19"/>
  <c r="G19" i="19"/>
  <c r="G12" i="19"/>
  <c r="J90" i="21" l="1"/>
  <c r="M88" i="18"/>
  <c r="G88" i="18"/>
  <c r="J89" i="21"/>
  <c r="M87" i="18"/>
  <c r="G87" i="18"/>
  <c r="M89" i="18"/>
  <c r="J91" i="21"/>
  <c r="J88" i="21"/>
  <c r="M86" i="18"/>
  <c r="G86" i="18"/>
  <c r="J92" i="21"/>
  <c r="M90" i="18"/>
  <c r="I72" i="19"/>
  <c r="K93" i="21" s="1"/>
  <c r="G71" i="19"/>
  <c r="G72" i="19" s="1"/>
  <c r="I81" i="19"/>
  <c r="K94" i="21" s="1"/>
  <c r="G80" i="19"/>
  <c r="G81" i="19" s="1"/>
  <c r="I52" i="19"/>
  <c r="K90" i="21" s="1"/>
  <c r="G27" i="19"/>
  <c r="G28" i="19" s="1"/>
  <c r="G29" i="19" s="1"/>
  <c r="G21" i="19"/>
  <c r="G22" i="19" s="1"/>
  <c r="G23" i="19" s="1"/>
  <c r="G14" i="19"/>
  <c r="I35" i="19"/>
  <c r="K88" i="21" s="1"/>
  <c r="I66" i="19"/>
  <c r="K92" i="21" s="1"/>
  <c r="I60" i="19"/>
  <c r="K91" i="21" s="1"/>
  <c r="I43" i="19"/>
  <c r="K89" i="21" s="1"/>
  <c r="J94" i="21" l="1"/>
  <c r="M92" i="18"/>
  <c r="J86" i="21"/>
  <c r="M84" i="18"/>
  <c r="G84" i="18"/>
  <c r="J87" i="21"/>
  <c r="M85" i="18"/>
  <c r="G85" i="18"/>
  <c r="J93" i="21"/>
  <c r="M91" i="18"/>
  <c r="G15" i="19"/>
  <c r="G16" i="19" s="1"/>
  <c r="I29" i="19"/>
  <c r="K87" i="21" s="1"/>
  <c r="I23" i="19"/>
  <c r="K86" i="21" s="1"/>
  <c r="I16" i="19"/>
  <c r="K85" i="21" s="1"/>
  <c r="L81" i="18"/>
  <c r="L80" i="18"/>
  <c r="L77" i="18"/>
  <c r="L62" i="18"/>
  <c r="L63" i="18"/>
  <c r="L64" i="18"/>
  <c r="L61" i="18"/>
  <c r="L53" i="18"/>
  <c r="L54" i="18"/>
  <c r="L55" i="18"/>
  <c r="L56" i="18"/>
  <c r="L52" i="18"/>
  <c r="L48" i="18"/>
  <c r="L36" i="18"/>
  <c r="L14" i="18"/>
  <c r="L23" i="18"/>
  <c r="L24" i="18"/>
  <c r="L13" i="18"/>
  <c r="K84" i="21" l="1"/>
  <c r="G82" i="18"/>
  <c r="G94" i="18" s="1"/>
  <c r="J85" i="21"/>
  <c r="J84" i="21" s="1"/>
  <c r="I82" i="18"/>
  <c r="M83" i="18"/>
  <c r="M54" i="18"/>
  <c r="M53" i="18"/>
  <c r="M63" i="18"/>
  <c r="M62" i="18"/>
  <c r="M81" i="18"/>
  <c r="M14" i="18"/>
  <c r="M52" i="18"/>
  <c r="M55" i="18"/>
  <c r="I94" i="18" l="1"/>
  <c r="J99" i="18" s="1"/>
  <c r="D102" i="18" s="1"/>
  <c r="J100" i="18"/>
  <c r="D103" i="18" s="1"/>
  <c r="C25" i="13"/>
  <c r="M61" i="18"/>
  <c r="M82" i="18"/>
  <c r="M94" i="18" s="1"/>
  <c r="C13" i="13"/>
  <c r="F12" i="13" s="1"/>
  <c r="M13" i="18"/>
  <c r="M12" i="18" s="1"/>
  <c r="C31" i="13"/>
  <c r="D31" i="13" s="1"/>
  <c r="M80" i="18"/>
  <c r="M51" i="18"/>
  <c r="J64" i="21"/>
  <c r="K64" i="21"/>
  <c r="J65" i="21"/>
  <c r="K65" i="21"/>
  <c r="J55" i="21"/>
  <c r="K55" i="21"/>
  <c r="E24" i="13"/>
  <c r="G25" i="13"/>
  <c r="G24" i="13" s="1"/>
  <c r="F25" i="13"/>
  <c r="F24" i="13" s="1"/>
  <c r="D24" i="13"/>
  <c r="J54" i="21"/>
  <c r="K54" i="21"/>
  <c r="C21" i="13"/>
  <c r="C33" i="13" s="1"/>
  <c r="J56" i="21"/>
  <c r="K56" i="21"/>
  <c r="J16" i="21"/>
  <c r="J14" i="21" s="1"/>
  <c r="K16" i="21"/>
  <c r="K14" i="21" s="1"/>
  <c r="K83" i="21"/>
  <c r="J83" i="21"/>
  <c r="J57" i="21"/>
  <c r="K57" i="21"/>
  <c r="E12" i="13"/>
  <c r="G12" i="13"/>
  <c r="D13" i="13"/>
  <c r="D12" i="13" s="1"/>
  <c r="M23" i="18" l="1"/>
  <c r="D30" i="13"/>
  <c r="E31" i="13"/>
  <c r="E21" i="13"/>
  <c r="G20" i="13"/>
  <c r="D20" i="13"/>
  <c r="K25" i="21"/>
  <c r="J25" i="21"/>
  <c r="K100" i="18"/>
  <c r="G32" i="13"/>
  <c r="D103" i="21" l="1"/>
  <c r="D100" i="21"/>
  <c r="D101" i="21" s="1"/>
  <c r="D102" i="21" s="1"/>
  <c r="E20" i="13"/>
  <c r="F21" i="13"/>
  <c r="F20" i="13" s="1"/>
  <c r="E30" i="13"/>
  <c r="F31" i="13"/>
  <c r="E103" i="18"/>
  <c r="K99" i="18"/>
  <c r="E102" i="18"/>
  <c r="K98" i="21" l="1"/>
  <c r="D104" i="21"/>
  <c r="F30" i="13"/>
  <c r="G31" i="13"/>
  <c r="G30" i="13" s="1"/>
  <c r="G33" i="13" l="1"/>
  <c r="F32" i="13"/>
  <c r="E32" i="13" l="1"/>
  <c r="F33" i="13" l="1"/>
  <c r="E37" i="13" l="1"/>
  <c r="D37" i="13"/>
  <c r="D39" i="13" s="1"/>
  <c r="F37" i="13"/>
  <c r="G37" i="13"/>
  <c r="E33" i="13" l="1"/>
  <c r="D33" i="13" l="1"/>
  <c r="D35" i="13"/>
  <c r="E35" i="13" s="1"/>
  <c r="F35" i="13" l="1"/>
  <c r="E34" i="13"/>
  <c r="D34" i="13"/>
  <c r="D38" i="13"/>
  <c r="E38" i="13" s="1"/>
  <c r="E39" i="13" l="1"/>
  <c r="F38" i="13"/>
  <c r="G35" i="13"/>
  <c r="G34" i="13" s="1"/>
  <c r="F34" i="13"/>
  <c r="F39" i="13" l="1"/>
  <c r="G38" i="13"/>
  <c r="G39" i="13" s="1"/>
  <c r="K98" i="18"/>
  <c r="E101" i="18"/>
</calcChain>
</file>

<file path=xl/sharedStrings.xml><?xml version="1.0" encoding="utf-8"?>
<sst xmlns="http://schemas.openxmlformats.org/spreadsheetml/2006/main" count="698" uniqueCount="314">
  <si>
    <t>Item</t>
  </si>
  <si>
    <t>Descrição</t>
  </si>
  <si>
    <t xml:space="preserve"> 1 </t>
  </si>
  <si>
    <t>SERVIÇOS PRELIMINARES</t>
  </si>
  <si>
    <t xml:space="preserve"> 1.1 </t>
  </si>
  <si>
    <t>m²</t>
  </si>
  <si>
    <t>UN</t>
  </si>
  <si>
    <t>KM</t>
  </si>
  <si>
    <t xml:space="preserve"> 2 </t>
  </si>
  <si>
    <t xml:space="preserve"> 2.1 </t>
  </si>
  <si>
    <t>m³</t>
  </si>
  <si>
    <t xml:space="preserve"> 2.2 </t>
  </si>
  <si>
    <t xml:space="preserve"> 2.3 </t>
  </si>
  <si>
    <t xml:space="preserve"> 2.4 </t>
  </si>
  <si>
    <t>ATERRO MANUAL DE VALAS COM AREIA PARA ATERRO E COMPACTAÇÃO MECANIZADA. AF_05/2016</t>
  </si>
  <si>
    <t>ALVENARIA EM TIJOLO CERAMICO FURADO 9X19X19CM, 1 VEZ (ESPESSURA 19 CM), ASSENTADO EM ARGAMASSA TRACO 1:4 (CIMENTO E AREIA MEDIA NAO PENEIRADA), PREPARO MANUAL, JUNTA1 CM</t>
  </si>
  <si>
    <t>KG</t>
  </si>
  <si>
    <t>M</t>
  </si>
  <si>
    <t>m</t>
  </si>
  <si>
    <t>un</t>
  </si>
  <si>
    <t>PINTURA</t>
  </si>
  <si>
    <t>APLICAÇÃO DE FUNDO SELADOR ACRÍLICO EM PAREDES, UMA DEMÃO. AF_06/2014</t>
  </si>
  <si>
    <t>APLICAÇÃO MANUAL DE PINTURA COM TINTA LÁTEX ACRÍLICA EM PAREDES, DUAS DEMÃOS. AF_06/2014</t>
  </si>
  <si>
    <t>ADMINISTRAÇÃO LOCAL</t>
  </si>
  <si>
    <t>TOTAL</t>
  </si>
  <si>
    <t>SEM BDI</t>
  </si>
  <si>
    <t>COM BDI</t>
  </si>
  <si>
    <t>VALORES UNITÁRIOS R$</t>
  </si>
  <si>
    <t>TOTAL R$</t>
  </si>
  <si>
    <t>UNID</t>
  </si>
  <si>
    <t>QUANT</t>
  </si>
  <si>
    <t>ITEM</t>
  </si>
  <si>
    <t>DESCRIÇÃO</t>
  </si>
  <si>
    <t>SERVIÇO PÚBLICO FEDERAL</t>
  </si>
  <si>
    <t xml:space="preserve">   MINISTÉRIO DA EDUCAÇÃO</t>
  </si>
  <si>
    <t>UNIVERSIDADE FEDERAL RURAL DO SEMIÁRIDO</t>
  </si>
  <si>
    <t>Porcentagem prevista</t>
  </si>
  <si>
    <t>Porcentagem EXECUTADA</t>
  </si>
  <si>
    <t>Custo previsto</t>
  </si>
  <si>
    <t>Custo Acumulado EXECUTADO</t>
  </si>
  <si>
    <t>ARMAÇÃO DE BLOCO, VIGA BALDRAME OU SAPATA UTILIZANDO AÇO CA-50 DE 6,3 MM - MONTAGEM. AF_06/2017</t>
  </si>
  <si>
    <t>ARMAÇÃO DE BLOCO, VIGA BALDRAME OU SAPATA UTILIZANDO AÇO CA-50 DE 10 MM - MONTAGEM. AF_06/2017</t>
  </si>
  <si>
    <t>ARMAÇÃO DE BLOCO, VIGA BALDRAME E SAPATA UTILIZANDO AÇO CA-60 DE 5 MM - MONTAGEM. AF_06/2017</t>
  </si>
  <si>
    <t>LANÇAMENTO COM USO DE BALDES, ADENSAMENTO E ACABAMENTO DE CONCRETO EM ESTRUTURAS. AF_12/2015</t>
  </si>
  <si>
    <t>MASSA ÚNICA, PARA RECEBIMENTO DE PINTURA, EM ARGAMASSA TRAÇO 1:2:8, PREPARO MECÂNICO COM BETONEIRA 400L, APLICADA MANUALMENTE EM TETO, ESPESSURA DE 20MM, COM EXECUÇÃO DE TALISCAS. AF_03/2015</t>
  </si>
  <si>
    <t>Porcentagem EXECUTADA acumulado</t>
  </si>
  <si>
    <t>CRONOGRAMA FÍSICO FINANCEIRO</t>
  </si>
  <si>
    <t>MES</t>
  </si>
  <si>
    <t>Local: UFERSA - MOSSORÓ - RN</t>
  </si>
  <si>
    <t>MEDIDO EXECUTADO NO PERIODO</t>
  </si>
  <si>
    <t>1ª TERMO ADITIVO</t>
  </si>
  <si>
    <t>QUANT. ACRÉSCIMOS</t>
  </si>
  <si>
    <t>VALORES ACRÉSCIMOS (R$)</t>
  </si>
  <si>
    <t>QUANT. SUPRESSÃO</t>
  </si>
  <si>
    <t>VALORES SUPRESSÕES (R$)</t>
  </si>
  <si>
    <t>RESUMO</t>
  </si>
  <si>
    <t>QUANTIDADE FINAL</t>
  </si>
  <si>
    <t>VALORES</t>
  </si>
  <si>
    <t>SERVIÇOS EXTRAORDINÁRIOS</t>
  </si>
  <si>
    <t>M2</t>
  </si>
  <si>
    <t>M3</t>
  </si>
  <si>
    <t>M²</t>
  </si>
  <si>
    <t>PLANILHA ORÇAMENTÁRIA - ADEQUAÇÃO 1</t>
  </si>
  <si>
    <t>Local: UFERSA - Campus  MOSSORÓ</t>
  </si>
  <si>
    <t>VALOR GLOBAL DE SUPRESSÕES</t>
  </si>
  <si>
    <t>VALOR GLOBAL DE EXCEDENTES</t>
  </si>
  <si>
    <t>VALOR GLOBAL DE SERVIÇOS EXTRAS</t>
  </si>
  <si>
    <t>1º TERMO ADITIVO</t>
  </si>
  <si>
    <t>VALOR DE SUPRESSÕES</t>
  </si>
  <si>
    <t>VALOR DE EXCEDENTES</t>
  </si>
  <si>
    <t>VALOR DE SERVIÇOS EXTRAS</t>
  </si>
  <si>
    <t>EMPRESA:</t>
  </si>
  <si>
    <t>OBRA:</t>
  </si>
  <si>
    <t>LOCAL:</t>
  </si>
  <si>
    <t>CAMPUS CENTRAL DA UFERSA - MOSSORÓ/RN</t>
  </si>
  <si>
    <t>ASSUNTO:</t>
  </si>
  <si>
    <t>DATA:</t>
  </si>
  <si>
    <t>REFERÊNCIA:</t>
  </si>
  <si>
    <t>BDI =</t>
  </si>
  <si>
    <t>UND</t>
  </si>
  <si>
    <t>H</t>
  </si>
  <si>
    <t>Total custo</t>
  </si>
  <si>
    <t>Total com BDI</t>
  </si>
  <si>
    <t>COMPOSIÇÕES DE PREÇOS UNITÁRIOS - ADEQUAÇÃO 1</t>
  </si>
  <si>
    <t>PREÇO DE REFERÊNCIA</t>
  </si>
  <si>
    <t>PLANILHA DE ANÁLISE DE EQUILÍBRIO ECONÔMICO-FINANCEIRO DO CONTRATO</t>
  </si>
  <si>
    <t>Local: UFERSA - Campus Mossoró - RN</t>
  </si>
  <si>
    <t>PLANILHA DE APLICAÇÃO DO MÉTODO DE LIMITAÇÃO DO PREÇO GLOBAL - MLPG</t>
  </si>
  <si>
    <t>DESCRIÇÃO DOS SERVIÇOS</t>
  </si>
  <si>
    <t>SITUAÇÃO ORIGINAL</t>
  </si>
  <si>
    <t>SITUAÇÃO APÓS REPLANILHAMENTOS</t>
  </si>
  <si>
    <t>QUANT. INICIAL</t>
  </si>
  <si>
    <t xml:space="preserve">PLANILHA CONTRATUAL </t>
  </si>
  <si>
    <t>ORÇAMENTO DE REFERÊNCIA</t>
  </si>
  <si>
    <t>QUANT. FINAL</t>
  </si>
  <si>
    <t>PLANILHA CONTRATUAL</t>
  </si>
  <si>
    <t>(PROPOSTA VENCEDORA)</t>
  </si>
  <si>
    <t>PREÇO UNITÁRIO (R$)</t>
  </si>
  <si>
    <t>PREÇO TOTAL (R$)</t>
  </si>
  <si>
    <t>VALOR GLOBAL</t>
  </si>
  <si>
    <t>DESCONTO ORIGINAL</t>
  </si>
  <si>
    <t>DESCONTO APÓS ALTERAÇÕES</t>
  </si>
  <si>
    <t>A</t>
  </si>
  <si>
    <t>ORÇAMENTO DE REFERÊNCIA FINAL</t>
  </si>
  <si>
    <t>B</t>
  </si>
  <si>
    <t>APLICAÇÃO DO DESCONTO ORIGINAL DA PROPOSTA</t>
  </si>
  <si>
    <t>C = A - B</t>
  </si>
  <si>
    <t>VALOR FINAL DO ORÇAMENTO DE REFERÊNCIA COM DESCONTO</t>
  </si>
  <si>
    <t>D</t>
  </si>
  <si>
    <t>VALOR DO ORÇAMENTO DO CONTRATO APÓS ALTERAÇÕES</t>
  </si>
  <si>
    <t>E = D - C</t>
  </si>
  <si>
    <t>PARCELA COMPENSATÓRIA A SER DEDUZIDA</t>
  </si>
  <si>
    <t>OBRA: CONSTRUÇÃO DO MURO FRONTAL DO PARQUE TECNOLÓGICO - CAMPUS MOSSORÓ/RN (1ª ETAPA DA OBRA)</t>
  </si>
  <si>
    <t>CONTRATO: 34/2022.</t>
  </si>
  <si>
    <t>Data: 01 de Dezembro de 2022</t>
  </si>
  <si>
    <t>ITENS GERAIS</t>
  </si>
  <si>
    <t xml:space="preserve"> 1.1.1 </t>
  </si>
  <si>
    <t>LIMPEZA MANUAL DE VEGETAÇÃO EM TERRENO COM ENXADA.AF_05/2018</t>
  </si>
  <si>
    <t xml:space="preserve"> 1.1.2 </t>
  </si>
  <si>
    <t>Placa de obra em chapa aço galvanizado, instalada - Rev 02_01/2022</t>
  </si>
  <si>
    <t xml:space="preserve"> 1.1.3 </t>
  </si>
  <si>
    <t>LOCAÇÃO COM CAVALETE COM ALTURA DE 1,00 M - 2 UTILIZAÇÕES. AF_10/2018</t>
  </si>
  <si>
    <t xml:space="preserve"> 1.1.4 </t>
  </si>
  <si>
    <t>MOBILIZAÇÃO DE EQUIPAMENTOS EM CAVALO MECÂNICO C/ PRANCHA DE 3 EIXOS</t>
  </si>
  <si>
    <t xml:space="preserve"> 1.1.5 </t>
  </si>
  <si>
    <t>DESMOBILIZAÇÃO DE EQUIPAMENTOS EM CAVALO MECÂNICO C/ PRANCHA DE 3 EIXOS</t>
  </si>
  <si>
    <t xml:space="preserve"> 1.1.6 </t>
  </si>
  <si>
    <t>ALUGUEL CONTAINER/ESCRIT/WC C/1 VASO/1 LAV/1 MIC/4 CHUV LARG          =2,20M COMPR=6,20M ALT=2,50M CHAPA ACO NERV TRAPEZ FORROC/            ISOL TERMO-ACUST CHASSIS REFORC PISO COMPENS NAVAL INCL INST          ELETR/HIDRO-SANIT EXCL TRANSP/CARGA/DESCARGA</t>
  </si>
  <si>
    <t xml:space="preserve"> 1.1.7 </t>
  </si>
  <si>
    <t>ELABORAÇÃO DE PROJETO ESTRUTURAL COM FUNDAÇÕES ATÉ 500 M²  (AVALIAÇÃO DE BENS)</t>
  </si>
  <si>
    <t xml:space="preserve"> 1.1.8 </t>
  </si>
  <si>
    <t>Demolição de cerca - estacas de concreto com até 20 fios de arame farpado</t>
  </si>
  <si>
    <t xml:space="preserve"> 1.1.9 </t>
  </si>
  <si>
    <t>REGULARIZAÇÃO DA OBRA</t>
  </si>
  <si>
    <t>MURO FRONTAL</t>
  </si>
  <si>
    <t>MOVIMENTO DE TERRA E FUNDAÇÃO</t>
  </si>
  <si>
    <t xml:space="preserve"> 2.1.1 </t>
  </si>
  <si>
    <t>ESCAVAÇÃO MANUAL DE VALA COM PROFUNDIDADE MENOR OU IGUAL A 1,30 M. AF_02/2021</t>
  </si>
  <si>
    <t xml:space="preserve"> 2.1.2 </t>
  </si>
  <si>
    <t>LASTRO DE CONCRETO MAGRO, APLICADO EM BLOCOS DE COROAMENTO OU SAPATAS, ESPESSURA DE 3 CM. AF_08/2017</t>
  </si>
  <si>
    <t xml:space="preserve"> 2.1.3 </t>
  </si>
  <si>
    <t>ALVENARIA EM PEDRA RACHAO OU PEDRA DE MAO, ASSENTADA COM ARGAMASSA TRACO 1:6 (CIMENTO E AREIA)</t>
  </si>
  <si>
    <t xml:space="preserve"> 2.1.4 </t>
  </si>
  <si>
    <t xml:space="preserve"> 2.1.5 </t>
  </si>
  <si>
    <t>CONCRETO FCK = 20MPA, TRAÇO 1:2,7:3 (EM MASSA SECA DE CIMENTO/ AREIA MÉDIA/ BRITA 1) - PREPARO MECÂNICO COM BETONEIRA 400 L. AF_05/2021</t>
  </si>
  <si>
    <t xml:space="preserve"> 2.1.6 </t>
  </si>
  <si>
    <t xml:space="preserve"> 2.1.7 </t>
  </si>
  <si>
    <t>FABRICAÇÃO, MONTAGEM E DESMONTAGEM DE FÔRMA PARA BLOCO DE COROAMENTO, EM CHAPA DE MADEIRA COMPENSADA RESINADA, E=17 MM, 4 UTILIZAÇÕES. AF_06/2017</t>
  </si>
  <si>
    <t xml:space="preserve"> 2.1.8 </t>
  </si>
  <si>
    <t>REATERRO MANUAL APILOADO COM SOQUETE. AF_10/2017</t>
  </si>
  <si>
    <t xml:space="preserve"> 2.1.9 </t>
  </si>
  <si>
    <t xml:space="preserve"> 2.1.10 </t>
  </si>
  <si>
    <t xml:space="preserve"> 2.1.11 </t>
  </si>
  <si>
    <t>ESTRUTURA EM CONCRETO ARMADO</t>
  </si>
  <si>
    <t xml:space="preserve"> 2.2.1 </t>
  </si>
  <si>
    <t>CONCRETO FCK = 30MPA, TRAÇO 1:2,1:2,5 (EM MASSA SECA DE CIMENTO/ AREIA MÉDIA/ BRITA 1) - PREPARO MECÂNICO COM BETONEIRA 400 L. AF_05/2021</t>
  </si>
  <si>
    <t xml:space="preserve"> 2.2.2 </t>
  </si>
  <si>
    <t xml:space="preserve"> 2.2.3 </t>
  </si>
  <si>
    <t>FABRICAÇÃO, MONTAGEM E DESMONTAGEM DE FÔRMA PARA VIGA BALDRAME, EM MADEIRA SERRADA, E=25 MM, 4 UTILIZAÇÕES. AF_06/2017</t>
  </si>
  <si>
    <t xml:space="preserve"> 2.2.4 </t>
  </si>
  <si>
    <t xml:space="preserve"> 2.2.5 </t>
  </si>
  <si>
    <t xml:space="preserve"> 2.2.6 </t>
  </si>
  <si>
    <t xml:space="preserve"> 2.2.7 </t>
  </si>
  <si>
    <t xml:space="preserve"> 2.2.8 </t>
  </si>
  <si>
    <t>FABRICAÇÃO DE FÔRMA PARA PILARES E ESTRUTURAS SIMILARES, EM CHAPA DE MADEIRA COMPENSADA PLASTIFICADA, E = 18 MM. AF_09/2020</t>
  </si>
  <si>
    <t xml:space="preserve"> 2.2.9 </t>
  </si>
  <si>
    <t>ARMAÇÃO DE PILAR OU VIGA DE UMA ESTRUTURA CONVENCIONAL DE CONCRETO ARMADO EM UM EDIFÍCIO DE MÚLTIPLOS PAVIMENTOS UTILIZANDO AÇO CA-50 DE 6,3 MM - MONTAGEM. AF_12/2015</t>
  </si>
  <si>
    <t xml:space="preserve"> 2.2.10 </t>
  </si>
  <si>
    <t>ARMAÇÃO DE ESTRUTURAS DE CONCRETO ARMADO, EXCETO VIGAS, PILARES, LAJES E FUNDAÇÕES, UTILIZANDO AÇO CA-50 DE 10,0 MM - MONTAGEM. AF_12/2015</t>
  </si>
  <si>
    <t xml:space="preserve"> 2.2.11 </t>
  </si>
  <si>
    <t>ALVENARIA</t>
  </si>
  <si>
    <t xml:space="preserve"> 2.3.1 </t>
  </si>
  <si>
    <t>ALVENARIA DE VEDAÇÃO DE BLOCOS CERÂMICOS FURADOS NA HORIZONTAL DE 9X19X19CM (ESPESSURA 9CM) DE PAREDES COM ÁREA LÍQUIDA MENOR QUE 6M² COM VÃOS E ARGAMASSA DE ASSENTAMENTO COM PREPARO MANUAL. AF_06/2014</t>
  </si>
  <si>
    <t xml:space="preserve"> 2.3.2 </t>
  </si>
  <si>
    <t>CHAPEU CHINES EM CONCRETO SOBRE PILARES, 45X45X6CM,  ASSENTADO COM ARGAMASSA 1:6 COM ADITIVO. AF_11/2020</t>
  </si>
  <si>
    <t>REVESTIMENTO</t>
  </si>
  <si>
    <t xml:space="preserve"> 2.4.1 </t>
  </si>
  <si>
    <t>CHAPISCO APLICADO EM ALVENARIA (COM PRESENÇA DE VÃOS) E ESTRUTURAS DE CONCRETO DE FACHADA, COM COLHER DE PEDREIRO.  ARGAMASSA TRAÇO 1:3 COM PREPARO MANUAL. AF_06/2014</t>
  </si>
  <si>
    <t xml:space="preserve"> 2.4.2 </t>
  </si>
  <si>
    <t xml:space="preserve"> 2.4.3 </t>
  </si>
  <si>
    <t>EMBOÇO OU MASSA ÚNICA EM ARGAMASSA TRAÇO 1:2:8, PREPARO MANUAL, APLICADA MANUALMENTE EM PANOS DE FACHADA COM PRESENÇA DE VÃOS, ESPESSURA DE 25 MM. AF_06/2014</t>
  </si>
  <si>
    <t xml:space="preserve"> 2.4.4 </t>
  </si>
  <si>
    <t>REVESTIMENTO EXTERNO EM CERÂMICA TIPO CASQUILHO DE TIJOLO  APARENTE BRANCO, CONFORME PROJETO</t>
  </si>
  <si>
    <t xml:space="preserve"> 2.5 </t>
  </si>
  <si>
    <t xml:space="preserve"> 2.5.1 </t>
  </si>
  <si>
    <t xml:space="preserve"> 2.5.2 </t>
  </si>
  <si>
    <t xml:space="preserve"> 2.5.3 </t>
  </si>
  <si>
    <t>PINTURA COM TINTA ALQUÍDICA DE FUNDO (TIPO ZARCÃO) PULVERIZADA SOBRE PERFIL METÁLICO EXECUTADO EM FÁBRICA (POR DEMÃO). AF_01/2020_P</t>
  </si>
  <si>
    <t xml:space="preserve"> 2.5.4 </t>
  </si>
  <si>
    <t>PINTURA COM TINTA ALQUÍDICA DE ACABAMENTO (ESMALTE SINTÉTICO BRILHANTE) PULVERIZADA SOBRE SUPERFÍCIES METÁLICAS (EXCETO PERFIL) EXECUTADO EM OBRA (02 DEMÃOS). AF_01/2020_P</t>
  </si>
  <si>
    <t xml:space="preserve"> 2.6 </t>
  </si>
  <si>
    <t>ESQUADRIAS</t>
  </si>
  <si>
    <t xml:space="preserve"> 2.6.1 </t>
  </si>
  <si>
    <t>GRADE DE FERRO EM BARRA CHATA 3/16"</t>
  </si>
  <si>
    <t xml:space="preserve"> 2.6.2 </t>
  </si>
  <si>
    <t>PORTÃO TIPO GRADE DE FERRO EM BARRA CHATA 3/16", INCL.  FECHADURA E DOBRADIÇAS - FORNECIMENTO E INSTALAÇÃO</t>
  </si>
  <si>
    <t xml:space="preserve"> 2.7 </t>
  </si>
  <si>
    <t>PISOS</t>
  </si>
  <si>
    <t xml:space="preserve"> 2.7.1 </t>
  </si>
  <si>
    <t>EXECUÇÃO DE PÁTIO/ESTACIONAMENTO EM PISO INTERTRAVADO, COM BLOCO RETANGULAR DE 20 X 10 CM, ESPESSURA 10 CM. AF_12/2015</t>
  </si>
  <si>
    <t xml:space="preserve"> 2.7.2 </t>
  </si>
  <si>
    <t>EXECUÇÃO DE VIA EM PISO INTERTRAVADO, COM BLOCO RETANGULAR DE 20 X 10 CM, ESPESSURA 10 CM. AF_12/2015</t>
  </si>
  <si>
    <t xml:space="preserve"> 2.7.3 </t>
  </si>
  <si>
    <t xml:space="preserve"> 2.7.4 </t>
  </si>
  <si>
    <t>Demolição de meio-fio granítico ou pre-moldado</t>
  </si>
  <si>
    <t xml:space="preserve"> 2.7.5 </t>
  </si>
  <si>
    <t>ASSENTAMENTO DE GUIA (MEIO-FIO) EM TRECHO RETO, CONFECCIONADA EM CONCRETO PRÉ-FABRICADO, DIMENSÕES 100X15X13X30 CM (COMPRIMENTO X BASE INFERIOR X BASE SUPERIOR X ALTURA), PARA VIAS URBANAS (USO VIÁRIO). AF_06/2016</t>
  </si>
  <si>
    <t xml:space="preserve"> 2.7.6 </t>
  </si>
  <si>
    <t>Placa de sinalização, dim.: 60 x 80 cm,  - "Estacionamento Reservado - Deficiente/Idosos", incluso barrote para fixação - fornecimento e instalação</t>
  </si>
  <si>
    <t xml:space="preserve"> 2.7.7 </t>
  </si>
  <si>
    <t>PINTURA DE FAIXA DE PEDESTRE OU ZEBRADA TINTA RETRORREFLETIVA A BASE DE RESINA ACRÍLICA COM MICROESFERAS DE VIDRO, E = 30 CM, APLICAÇÃO MANUAL. AF_05/2021</t>
  </si>
  <si>
    <t xml:space="preserve"> 2.7.8 </t>
  </si>
  <si>
    <t>PINTURA DE DEMARCAÇÃO DE VAGA COM TINTA EPÓXI, E = 10 CM, APLICAÇÃO MANUAL. AF_05/2021</t>
  </si>
  <si>
    <t xml:space="preserve"> 2.7.9 </t>
  </si>
  <si>
    <t>PINTURA ACRILICA PARA SINALIZAÇÃO HORIZONTAL EM PISO CIMENTADO</t>
  </si>
  <si>
    <t xml:space="preserve"> 2.7.10 </t>
  </si>
  <si>
    <t>REASSENTAMENTO DE BLOCOS RETANGULAR PARA PISO INTERTRAVADO, ESPESSURA DE 8 CM, EM VIA/ESTACIONAMENTO, COM REAPROVEITAMENTO DOS BLOCOS RETANGULAR - INCLUSO RETIRADA E COLOCAÇÃO DO MATERIAL. AF_12/2020</t>
  </si>
  <si>
    <t xml:space="preserve"> 2.7.11 </t>
  </si>
  <si>
    <t xml:space="preserve"> 2.7.12 </t>
  </si>
  <si>
    <t xml:space="preserve"> 2.8 </t>
  </si>
  <si>
    <t>LIMPEZA FINAL</t>
  </si>
  <si>
    <t xml:space="preserve"> 2.8.1 </t>
  </si>
  <si>
    <t>LIMPEZA MANUAL GERAL COM REMOCAO DE COBERTURA VEGETAL</t>
  </si>
  <si>
    <t xml:space="preserve"> 2.8.2 </t>
  </si>
  <si>
    <t>PLANTIO DE ÁRVORE ORNAMENTAL COM ALTURA DE MUDA MAIOR QUE 2,00 M E MENOR OU IGUAL A 4,00 M. AF_05/2018</t>
  </si>
  <si>
    <t xml:space="preserve"> 2.9 </t>
  </si>
  <si>
    <t xml:space="preserve"> 2.9.1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</si>
  <si>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</si>
  <si>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</si>
  <si>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</si>
  <si>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</si>
  <si>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</si>
  <si>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</si>
  <si>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</si>
  <si>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</si>
  <si>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</si>
  <si>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</si>
  <si>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CONSTRUÇÃO DO MURO FRONTAL DO PARQUE TECNOLÓGICO - CAMPUS MOSSORÓ/RN (1ª ETAPA DA OBRA)</t>
  </si>
  <si>
    <t>01 DE DEZEMBRO DE 2022</t>
  </si>
  <si>
    <t>I L AZEVEDO ENGENHARIA EIRELI</t>
  </si>
  <si>
    <t>Total Readequado</t>
  </si>
  <si>
    <t>30 DIAS</t>
  </si>
  <si>
    <t>60 DIAS</t>
  </si>
  <si>
    <t>90 DIAS</t>
  </si>
  <si>
    <t>120 DIAS</t>
  </si>
  <si>
    <t>1.1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</si>
  <si>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</si>
  <si>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</si>
  <si>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</si>
  <si>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</si>
  <si>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</si>
  <si>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</si>
  <si>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</si>
  <si>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</si>
  <si>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</si>
  <si>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RETIRADA DE ÁRVORES</t>
  </si>
  <si>
    <t>IMPERMEABILIZAÇÃO DE SUPERFÍCIE COM EMULSÃO ASFÁLTICA, 2 DEMÃOS AF_06/2018</t>
  </si>
  <si>
    <t>CAPIAÇO COM ARGAMASSA DE CIMENTO E AREIA MÉDIA, TRAÇO 1:3, LARGURA DE 10 CM E ESPESSURA DE 2 CM - UTILIZADO EMALVENARIA/ESTRUTURA EXISTENTE. R_11/2020</t>
  </si>
  <si>
    <t>ORSE 8</t>
  </si>
  <si>
    <t>Preço Unitário com Desconto (27,06%)</t>
  </si>
  <si>
    <t>ORSE 2605</t>
  </si>
  <si>
    <t>ORSE 11143</t>
  </si>
  <si>
    <t>SEINFRA C2204</t>
  </si>
  <si>
    <t xml:space="preserve"> SINAPI 98557</t>
  </si>
  <si>
    <t>AJUDANTE ESPECIALIZADO COM ENCARGOS COMPLEMENTARES</t>
  </si>
  <si>
    <t>IMPERMEABILIZADOR COM ENCARGOS COMPLEMENTARES</t>
  </si>
  <si>
    <t>MANTA LIQUIDA DE BASE ASFALTICA MODIFICADA COM A ADICAO DE ELASTOMEROS DILUIDOS EM SOLVENTE ORGANICO, APLICACAO A FRIO (MEMBRANA IMPERMEABILIZANTE ASFASTICA)</t>
  </si>
  <si>
    <t>0,085</t>
  </si>
  <si>
    <t>0,422</t>
  </si>
  <si>
    <t>1,5</t>
  </si>
  <si>
    <t>23,68</t>
  </si>
  <si>
    <t>CAERN 1100129</t>
  </si>
  <si>
    <t>ARGAMASSA TRAÇO 1:3 (EM VOLUME DE CIMENTO E AREIA MÉDIA ÚMIDA), PREPARO MANUAL. AF_08/2019</t>
  </si>
  <si>
    <t>SERVENTE COM ENCARGOS COMPLEMENTARES</t>
  </si>
  <si>
    <t>0,00752</t>
  </si>
  <si>
    <t>0,47</t>
  </si>
  <si>
    <t>0,171</t>
  </si>
  <si>
    <t>REJUNTAMENTO DE REVESTIMENTO EM CASQUILHO</t>
  </si>
  <si>
    <t>kg</t>
  </si>
  <si>
    <t xml:space="preserve">	REJUNTE CIMENTICIO, QUALQUER COR</t>
  </si>
  <si>
    <t>CONTRAPISO EM ARGAMASSA TRAÇO 1:4 (CIMENTO E AREIA), PREPARO MECÂNICO COM BETONEIRA 400 L, APLICADO EM ÁREAS SECAS SOBRE LAJE, ADERIDO, ACABAMENTO NÃO REFORÇADO, ESPESSURA 3CM. AF_07/2021</t>
  </si>
  <si>
    <t>EMOP 05.002.0102-A</t>
  </si>
  <si>
    <t>LEVANTAMENTO OU REBAIXAMENTO DE TAMPAO EM PATIO,PASSEIO OU J ARDIM COM VARIACAO DE MOVIMENTACAO ATE 0,50M,CONSIDERANDO DE MOLICAO DE CAMADA DE CONCRETO E CONCRETAGEM,INCLUSIVE CERCA PROTETORA</t>
  </si>
  <si>
    <t>TUBO, PVC OCRE, JUNTA ELÁSTICA, DN 100 MM, PARA COLETOR PREDIAL DE ESGOTO. AF_06/2022</t>
  </si>
  <si>
    <t>ASSENTADOR DE TUBOS COM ENCARGOS COMPLEMENTARES</t>
  </si>
  <si>
    <t>PASTA LUBRIFICANTE PARA TUBOS E CONEXOES COM JUNTA ELASTICA, EMBALAGEM DE *400* GR (USO EM PVC, ACO, POLIETILENO E OUTROS)</t>
  </si>
  <si>
    <t>TUBO COLETOR DE ESGOTO PVC, JEI, DN 100 MM (NBR  7362)</t>
  </si>
  <si>
    <t>0,3413</t>
  </si>
  <si>
    <t>0,1092</t>
  </si>
  <si>
    <t>19,38</t>
  </si>
  <si>
    <t>0,0298</t>
  </si>
  <si>
    <t>1,05</t>
  </si>
  <si>
    <t>DEMOLIÇÃO DE ALVENARIA DE PEDRA</t>
  </si>
  <si>
    <t>SINAPI-RN - 08/2022</t>
  </si>
  <si>
    <t xml:space="preserve">PEDREIRO COM ENCARGOS COMPLEMENTARES </t>
  </si>
  <si>
    <t>SINAPI 88309</t>
  </si>
  <si>
    <t>SINAPI 88316</t>
  </si>
  <si>
    <t>LOCAÇÃO DE SERVIÇOS DE PAVIMENTAÇÃO</t>
  </si>
  <si>
    <t xml:space="preserve">AUXILIAR DE TOPÓGRAFO COM ENCARGOS COMPLEMENTARES </t>
  </si>
  <si>
    <t>SINAPI 88253</t>
  </si>
  <si>
    <t xml:space="preserve">TOPOGRAFO COM ENCARGOS COMPLEMENTARES </t>
  </si>
  <si>
    <t>SINAPI 90781</t>
  </si>
  <si>
    <t xml:space="preserve">SINAPI 88243 </t>
  </si>
  <si>
    <t xml:space="preserve">SINAPI 88270 </t>
  </si>
  <si>
    <t xml:space="preserve">SINAPI 00000626 </t>
  </si>
  <si>
    <t xml:space="preserve">SINAPI 88629 </t>
  </si>
  <si>
    <t>PROPRIA</t>
  </si>
  <si>
    <t>SINAPI 34357</t>
  </si>
  <si>
    <t>SINAPI 87630</t>
  </si>
  <si>
    <t xml:space="preserve">SINAPI 88246 </t>
  </si>
  <si>
    <t xml:space="preserve">SINAPI 88316 </t>
  </si>
  <si>
    <t xml:space="preserve">SINAPI  00020078 </t>
  </si>
  <si>
    <t xml:space="preserve">SINAPI  00036365 </t>
  </si>
  <si>
    <t>DEMOLIÇÃO DE ALVENARIA DE BLOCO DE CONCRETO ESTRUTURAL - SEM REAPROVEITAMENTO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</si>
</sst>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#,##0.0000"/>
    <numFmt numFmtId="166" formatCode="#,##0.00_ ;[Red]\-#,##0.00\ "/>
    <numFmt numFmtId="167" formatCode="&quot;R$&quot;#,##0.00"/>
    <numFmt numFmtId="168" formatCode="0.000"/>
    <numFmt numFmtId="169" formatCode="#,##0.000"/>
    <numFmt numFmtId="170" formatCode="#,##0.00#####"/>
    <numFmt numFmtId="171" formatCode="_-* #,##0.0000000_-;\-* #,##0.0000000_-;_-* &quot;-&quot;??_-;_-@_-"/>
    <numFmt numFmtId="172" formatCode="0.0000"/>
  </numFmts>
  <fonts count="43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1"/>
      <name val="Arial"/>
      <family val="1"/>
    </font>
    <font>
      <sz val="8"/>
      <color theme="1"/>
      <name val="Tahoma"/>
      <family val="2"/>
    </font>
    <font>
      <sz val="8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0"/>
      <color rgb="FFFF0000"/>
      <name val="Tahoma"/>
      <family val="2"/>
    </font>
    <font>
      <sz val="11"/>
      <color rgb="FFFF0000"/>
      <name val="Tahoma"/>
      <family val="2"/>
    </font>
    <font>
      <b/>
      <sz val="10"/>
      <name val="Arial"/>
      <family val="2"/>
    </font>
    <font>
      <sz val="16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1"/>
    </font>
    <font>
      <sz val="9"/>
      <name val="Arial"/>
      <family val="1"/>
    </font>
    <font>
      <b/>
      <sz val="9"/>
      <color rgb="FF000000"/>
      <name val="Arial"/>
      <family val="1"/>
    </font>
    <font>
      <b/>
      <sz val="9"/>
      <color rgb="FF000000"/>
      <name val="Tahoma"/>
      <family val="2"/>
    </font>
    <font>
      <sz val="9"/>
      <color rgb="FF000000"/>
      <name val="Arial"/>
      <family val="1"/>
    </font>
    <font>
      <sz val="9"/>
      <color rgb="FF000000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Arial"/>
      <family val="1"/>
    </font>
    <font>
      <b/>
      <sz val="8"/>
      <color theme="1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sz val="8"/>
      <color rgb="FFFF0000"/>
      <name val="Tahoma"/>
      <family val="2"/>
    </font>
    <font>
      <sz val="8"/>
      <name val="Arial"/>
      <family val="1"/>
    </font>
    <font>
      <b/>
      <sz val="8"/>
      <color rgb="FF000000"/>
      <name val="Tahoma"/>
      <family val="2"/>
    </font>
    <font>
      <b/>
      <sz val="11"/>
      <name val="Arial"/>
      <family val="1"/>
    </font>
    <font>
      <b/>
      <sz val="11"/>
      <name val="Arial"/>
      <family val="2"/>
    </font>
    <font>
      <sz val="9"/>
      <color theme="1"/>
      <name val="Arial"/>
      <family val="1"/>
    </font>
    <font>
      <b/>
      <sz val="8"/>
      <color rgb="FFFF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3" fontId="7" fillId="0" borderId="0" xfId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vertical="center"/>
    </xf>
    <xf numFmtId="10" fontId="10" fillId="0" borderId="0" xfId="4" applyNumberFormat="1" applyFont="1" applyFill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4" fontId="19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0" fontId="7" fillId="8" borderId="0" xfId="0" applyFont="1" applyFill="1"/>
    <xf numFmtId="0" fontId="17" fillId="5" borderId="0" xfId="0" applyFont="1" applyFill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167" fontId="12" fillId="0" borderId="24" xfId="0" applyNumberFormat="1" applyFont="1" applyBorder="1" applyAlignment="1">
      <alignment horizontal="center" vertical="top" wrapText="1"/>
    </xf>
    <xf numFmtId="167" fontId="12" fillId="0" borderId="25" xfId="0" applyNumberFormat="1" applyFont="1" applyBorder="1" applyAlignment="1">
      <alignment horizontal="center" vertical="top" wrapText="1"/>
    </xf>
    <xf numFmtId="0" fontId="15" fillId="2" borderId="5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18" xfId="0" applyFont="1" applyFill="1" applyBorder="1" applyAlignment="1">
      <alignment horizontal="left" vertical="top" wrapText="1"/>
    </xf>
    <xf numFmtId="10" fontId="0" fillId="0" borderId="0" xfId="0" applyNumberFormat="1"/>
    <xf numFmtId="164" fontId="21" fillId="2" borderId="28" xfId="0" applyNumberFormat="1" applyFont="1" applyFill="1" applyBorder="1" applyAlignment="1">
      <alignment horizontal="center" vertical="center" wrapText="1"/>
    </xf>
    <xf numFmtId="10" fontId="12" fillId="7" borderId="29" xfId="0" applyNumberFormat="1" applyFont="1" applyFill="1" applyBorder="1" applyAlignment="1">
      <alignment horizontal="center" vertical="center" wrapText="1"/>
    </xf>
    <xf numFmtId="10" fontId="12" fillId="7" borderId="30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44" fontId="0" fillId="0" borderId="11" xfId="2" applyFont="1" applyBorder="1" applyAlignment="1">
      <alignment horizontal="center" vertical="center" wrapText="1"/>
    </xf>
    <xf numFmtId="167" fontId="12" fillId="5" borderId="24" xfId="0" applyNumberFormat="1" applyFont="1" applyFill="1" applyBorder="1" applyAlignment="1">
      <alignment horizontal="center" vertical="top" wrapText="1"/>
    </xf>
    <xf numFmtId="167" fontId="12" fillId="5" borderId="25" xfId="0" applyNumberFormat="1" applyFont="1" applyFill="1" applyBorder="1" applyAlignment="1">
      <alignment horizontal="center" vertical="top" wrapText="1"/>
    </xf>
    <xf numFmtId="164" fontId="3" fillId="5" borderId="15" xfId="0" applyNumberFormat="1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21" fillId="2" borderId="27" xfId="0" applyNumberFormat="1" applyFont="1" applyFill="1" applyBorder="1" applyAlignment="1">
      <alignment horizontal="center" vertical="center" wrapText="1"/>
    </xf>
    <xf numFmtId="4" fontId="21" fillId="5" borderId="39" xfId="0" applyNumberFormat="1" applyFont="1" applyFill="1" applyBorder="1" applyAlignment="1">
      <alignment vertical="center"/>
    </xf>
    <xf numFmtId="164" fontId="3" fillId="5" borderId="27" xfId="0" applyNumberFormat="1" applyFont="1" applyFill="1" applyBorder="1" applyAlignment="1">
      <alignment horizontal="center" vertical="center" wrapText="1"/>
    </xf>
    <xf numFmtId="164" fontId="3" fillId="5" borderId="40" xfId="0" applyNumberFormat="1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10" fontId="24" fillId="6" borderId="27" xfId="3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wrapText="1"/>
    </xf>
    <xf numFmtId="164" fontId="13" fillId="2" borderId="36" xfId="0" applyNumberFormat="1" applyFont="1" applyFill="1" applyBorder="1" applyAlignment="1">
      <alignment horizontal="center" vertical="center" wrapText="1"/>
    </xf>
    <xf numFmtId="4" fontId="13" fillId="5" borderId="10" xfId="0" applyNumberFormat="1" applyFont="1" applyFill="1" applyBorder="1" applyAlignment="1">
      <alignment vertical="center"/>
    </xf>
    <xf numFmtId="164" fontId="25" fillId="5" borderId="36" xfId="0" applyNumberFormat="1" applyFont="1" applyFill="1" applyBorder="1" applyAlignment="1">
      <alignment horizontal="center" vertical="center" wrapText="1"/>
    </xf>
    <xf numFmtId="164" fontId="25" fillId="5" borderId="37" xfId="0" applyNumberFormat="1" applyFont="1" applyFill="1" applyBorder="1" applyAlignment="1">
      <alignment horizontal="center" vertical="center" wrapText="1"/>
    </xf>
    <xf numFmtId="4" fontId="23" fillId="0" borderId="22" xfId="0" applyNumberFormat="1" applyFont="1" applyBorder="1" applyAlignment="1">
      <alignment horizontal="center" vertical="center" wrapText="1"/>
    </xf>
    <xf numFmtId="4" fontId="13" fillId="5" borderId="22" xfId="0" applyNumberFormat="1" applyFont="1" applyFill="1" applyBorder="1" applyAlignment="1">
      <alignment vertical="center"/>
    </xf>
    <xf numFmtId="4" fontId="23" fillId="5" borderId="22" xfId="0" applyNumberFormat="1" applyFont="1" applyFill="1" applyBorder="1" applyAlignment="1">
      <alignment horizontal="center" vertical="center" wrapText="1"/>
    </xf>
    <xf numFmtId="4" fontId="7" fillId="5" borderId="0" xfId="0" applyNumberFormat="1" applyFont="1" applyFill="1" applyAlignment="1">
      <alignment vertical="center"/>
    </xf>
    <xf numFmtId="4" fontId="17" fillId="5" borderId="14" xfId="0" applyNumberFormat="1" applyFont="1" applyFill="1" applyBorder="1" applyAlignment="1">
      <alignment horizontal="right" vertical="center"/>
    </xf>
    <xf numFmtId="4" fontId="17" fillId="5" borderId="15" xfId="0" applyNumberFormat="1" applyFont="1" applyFill="1" applyBorder="1" applyAlignment="1">
      <alignment horizontal="right" vertical="center"/>
    </xf>
    <xf numFmtId="4" fontId="17" fillId="4" borderId="14" xfId="0" applyNumberFormat="1" applyFont="1" applyFill="1" applyBorder="1" applyAlignment="1">
      <alignment horizontal="right" vertical="center"/>
    </xf>
    <xf numFmtId="4" fontId="18" fillId="4" borderId="15" xfId="0" applyNumberFormat="1" applyFont="1" applyFill="1" applyBorder="1" applyAlignment="1">
      <alignment horizontal="right" vertical="center"/>
    </xf>
    <xf numFmtId="0" fontId="27" fillId="4" borderId="46" xfId="0" applyFont="1" applyFill="1" applyBorder="1" applyAlignment="1">
      <alignment horizontal="left" vertical="top" wrapText="1"/>
    </xf>
    <xf numFmtId="0" fontId="28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top" wrapText="1"/>
    </xf>
    <xf numFmtId="0" fontId="27" fillId="4" borderId="1" xfId="0" applyFont="1" applyFill="1" applyBorder="1" applyAlignment="1">
      <alignment horizontal="right" vertical="top" wrapText="1"/>
    </xf>
    <xf numFmtId="4" fontId="27" fillId="4" borderId="47" xfId="0" applyNumberFormat="1" applyFont="1" applyFill="1" applyBorder="1" applyAlignment="1">
      <alignment horizontal="right" vertical="top" wrapText="1"/>
    </xf>
    <xf numFmtId="4" fontId="28" fillId="4" borderId="14" xfId="0" applyNumberFormat="1" applyFont="1" applyFill="1" applyBorder="1" applyAlignment="1">
      <alignment horizontal="right" vertical="center" wrapText="1"/>
    </xf>
    <xf numFmtId="4" fontId="28" fillId="4" borderId="15" xfId="0" applyNumberFormat="1" applyFont="1" applyFill="1" applyBorder="1" applyAlignment="1">
      <alignment horizontal="right" vertical="center" wrapText="1"/>
    </xf>
    <xf numFmtId="0" fontId="29" fillId="5" borderId="46" xfId="0" applyFont="1" applyFill="1" applyBorder="1" applyAlignment="1">
      <alignment horizontal="left" vertical="top" wrapText="1"/>
    </xf>
    <xf numFmtId="0" fontId="29" fillId="5" borderId="1" xfId="0" applyFont="1" applyFill="1" applyBorder="1" applyAlignment="1">
      <alignment horizontal="left" vertical="top" wrapText="1"/>
    </xf>
    <xf numFmtId="0" fontId="29" fillId="5" borderId="1" xfId="0" applyFont="1" applyFill="1" applyBorder="1" applyAlignment="1">
      <alignment horizontal="center" vertical="top" wrapText="1"/>
    </xf>
    <xf numFmtId="2" fontId="29" fillId="5" borderId="1" xfId="0" applyNumberFormat="1" applyFont="1" applyFill="1" applyBorder="1" applyAlignment="1">
      <alignment horizontal="right" vertical="top" wrapText="1"/>
    </xf>
    <xf numFmtId="4" fontId="29" fillId="5" borderId="1" xfId="0" applyNumberFormat="1" applyFont="1" applyFill="1" applyBorder="1" applyAlignment="1">
      <alignment horizontal="right" vertical="top" wrapText="1"/>
    </xf>
    <xf numFmtId="4" fontId="29" fillId="5" borderId="47" xfId="0" applyNumberFormat="1" applyFont="1" applyFill="1" applyBorder="1" applyAlignment="1">
      <alignment horizontal="right" vertical="top" wrapText="1"/>
    </xf>
    <xf numFmtId="0" fontId="29" fillId="5" borderId="1" xfId="0" applyFont="1" applyFill="1" applyBorder="1" applyAlignment="1">
      <alignment horizontal="right" vertical="top" wrapText="1"/>
    </xf>
    <xf numFmtId="2" fontId="27" fillId="4" borderId="1" xfId="0" applyNumberFormat="1" applyFont="1" applyFill="1" applyBorder="1" applyAlignment="1">
      <alignment horizontal="right" vertical="top" wrapText="1"/>
    </xf>
    <xf numFmtId="0" fontId="28" fillId="4" borderId="1" xfId="0" applyFont="1" applyFill="1" applyBorder="1" applyAlignment="1">
      <alignment horizontal="left" vertical="center"/>
    </xf>
    <xf numFmtId="4" fontId="28" fillId="4" borderId="14" xfId="0" applyNumberFormat="1" applyFont="1" applyFill="1" applyBorder="1" applyAlignment="1">
      <alignment horizontal="left" vertical="center" wrapText="1"/>
    </xf>
    <xf numFmtId="4" fontId="28" fillId="4" borderId="15" xfId="0" applyNumberFormat="1" applyFont="1" applyFill="1" applyBorder="1" applyAlignment="1">
      <alignment horizontal="right" vertical="center"/>
    </xf>
    <xf numFmtId="0" fontId="30" fillId="5" borderId="1" xfId="0" applyFont="1" applyFill="1" applyBorder="1" applyAlignment="1">
      <alignment horizontal="left" vertical="center" wrapText="1"/>
    </xf>
    <xf numFmtId="4" fontId="18" fillId="3" borderId="50" xfId="0" applyNumberFormat="1" applyFont="1" applyFill="1" applyBorder="1" applyAlignment="1">
      <alignment horizontal="right" vertical="center"/>
    </xf>
    <xf numFmtId="4" fontId="18" fillId="3" borderId="48" xfId="0" applyNumberFormat="1" applyFont="1" applyFill="1" applyBorder="1" applyAlignment="1">
      <alignment horizontal="right" vertical="center"/>
    </xf>
    <xf numFmtId="4" fontId="18" fillId="3" borderId="49" xfId="0" applyNumberFormat="1" applyFont="1" applyFill="1" applyBorder="1" applyAlignment="1">
      <alignment horizontal="right" vertical="center"/>
    </xf>
    <xf numFmtId="4" fontId="18" fillId="3" borderId="41" xfId="0" applyNumberFormat="1" applyFont="1" applyFill="1" applyBorder="1" applyAlignment="1">
      <alignment horizontal="right" vertical="center"/>
    </xf>
    <xf numFmtId="4" fontId="18" fillId="3" borderId="42" xfId="0" applyNumberFormat="1" applyFont="1" applyFill="1" applyBorder="1" applyAlignment="1">
      <alignment horizontal="right" vertical="center"/>
    </xf>
    <xf numFmtId="4" fontId="28" fillId="4" borderId="1" xfId="0" applyNumberFormat="1" applyFont="1" applyFill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4" fontId="31" fillId="4" borderId="46" xfId="0" applyNumberFormat="1" applyFont="1" applyFill="1" applyBorder="1" applyAlignment="1">
      <alignment horizontal="right" vertical="center"/>
    </xf>
    <xf numFmtId="4" fontId="31" fillId="5" borderId="46" xfId="0" applyNumberFormat="1" applyFont="1" applyFill="1" applyBorder="1" applyAlignment="1">
      <alignment horizontal="right" vertical="center"/>
    </xf>
    <xf numFmtId="4" fontId="32" fillId="4" borderId="56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vertical="center" wrapText="1"/>
    </xf>
    <xf numFmtId="44" fontId="33" fillId="3" borderId="1" xfId="2" applyFont="1" applyFill="1" applyBorder="1" applyAlignment="1">
      <alignment horizontal="center" vertical="center" wrapText="1"/>
    </xf>
    <xf numFmtId="10" fontId="33" fillId="3" borderId="1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6" applyFont="1" applyAlignment="1">
      <alignment vertical="center" wrapText="1"/>
    </xf>
    <xf numFmtId="3" fontId="6" fillId="0" borderId="0" xfId="7" applyNumberFormat="1" applyFont="1" applyAlignment="1">
      <alignment horizontal="left" vertical="center" wrapText="1"/>
    </xf>
    <xf numFmtId="0" fontId="34" fillId="0" borderId="0" xfId="7" applyFont="1" applyAlignment="1">
      <alignment horizontal="left" vertical="center" wrapText="1"/>
    </xf>
    <xf numFmtId="168" fontId="6" fillId="0" borderId="0" xfId="7" applyNumberFormat="1" applyFont="1" applyAlignment="1">
      <alignment vertical="center" wrapText="1"/>
    </xf>
    <xf numFmtId="0" fontId="6" fillId="0" borderId="0" xfId="7" applyFont="1" applyAlignment="1">
      <alignment vertical="center" wrapText="1"/>
    </xf>
    <xf numFmtId="0" fontId="6" fillId="0" borderId="0" xfId="7" applyFont="1" applyAlignment="1">
      <alignment horizontal="left" vertical="center" wrapText="1"/>
    </xf>
    <xf numFmtId="1" fontId="6" fillId="0" borderId="0" xfId="7" applyNumberFormat="1" applyFont="1" applyAlignment="1">
      <alignment horizontal="left" vertical="center" wrapText="1"/>
    </xf>
    <xf numFmtId="168" fontId="5" fillId="0" borderId="0" xfId="6" applyNumberFormat="1" applyFont="1" applyAlignment="1">
      <alignment vertical="center" wrapText="1"/>
    </xf>
    <xf numFmtId="168" fontId="34" fillId="0" borderId="0" xfId="7" applyNumberFormat="1" applyFont="1" applyAlignment="1">
      <alignment horizontal="left" vertical="center" wrapText="1"/>
    </xf>
    <xf numFmtId="3" fontId="5" fillId="0" borderId="0" xfId="6" applyNumberFormat="1" applyFont="1" applyAlignment="1">
      <alignment horizontal="center" vertical="center" wrapText="1"/>
    </xf>
    <xf numFmtId="2" fontId="6" fillId="0" borderId="1" xfId="6" applyNumberFormat="1" applyFont="1" applyBorder="1" applyAlignment="1">
      <alignment horizontal="right" vertical="center" wrapText="1"/>
    </xf>
    <xf numFmtId="10" fontId="6" fillId="0" borderId="1" xfId="6" applyNumberFormat="1" applyFont="1" applyBorder="1" applyAlignment="1">
      <alignment horizontal="left" vertical="center" wrapText="1"/>
    </xf>
    <xf numFmtId="0" fontId="33" fillId="0" borderId="0" xfId="6" applyFont="1" applyAlignment="1">
      <alignment vertical="center" wrapText="1"/>
    </xf>
    <xf numFmtId="0" fontId="5" fillId="0" borderId="1" xfId="6" applyFont="1" applyBorder="1" applyAlignment="1">
      <alignment horizontal="center" vertical="center" wrapText="1"/>
    </xf>
    <xf numFmtId="3" fontId="6" fillId="0" borderId="1" xfId="6" applyNumberFormat="1" applyFont="1" applyBorder="1" applyAlignment="1">
      <alignment horizontal="center" vertical="center" wrapText="1"/>
    </xf>
    <xf numFmtId="0" fontId="6" fillId="0" borderId="1" xfId="6" applyFont="1" applyBorder="1" applyAlignment="1">
      <alignment vertical="center" wrapText="1"/>
    </xf>
    <xf numFmtId="169" fontId="6" fillId="0" borderId="1" xfId="6" applyNumberFormat="1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4" fontId="6" fillId="0" borderId="1" xfId="6" applyNumberFormat="1" applyFont="1" applyBorder="1" applyAlignment="1">
      <alignment horizontal="center" vertical="center" wrapText="1"/>
    </xf>
    <xf numFmtId="0" fontId="34" fillId="0" borderId="1" xfId="6" applyFont="1" applyBorder="1" applyAlignment="1">
      <alignment horizontal="center" vertical="center" wrapText="1"/>
    </xf>
    <xf numFmtId="3" fontId="34" fillId="0" borderId="1" xfId="6" applyNumberFormat="1" applyFont="1" applyBorder="1" applyAlignment="1">
      <alignment horizontal="center" vertical="center" wrapText="1"/>
    </xf>
    <xf numFmtId="2" fontId="34" fillId="0" borderId="1" xfId="8" applyNumberFormat="1" applyFont="1" applyFill="1" applyBorder="1" applyAlignment="1">
      <alignment vertical="center" wrapText="1"/>
    </xf>
    <xf numFmtId="4" fontId="34" fillId="0" borderId="1" xfId="6" applyNumberFormat="1" applyFont="1" applyBorder="1" applyAlignment="1">
      <alignment horizontal="center" vertical="center" wrapText="1"/>
    </xf>
    <xf numFmtId="0" fontId="34" fillId="0" borderId="0" xfId="6" applyFont="1" applyAlignment="1">
      <alignment vertical="center" wrapText="1"/>
    </xf>
    <xf numFmtId="0" fontId="5" fillId="0" borderId="0" xfId="6" applyFont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0" fontId="6" fillId="0" borderId="0" xfId="6" applyFont="1" applyAlignment="1">
      <alignment horizontal="left" vertical="center" wrapText="1"/>
    </xf>
    <xf numFmtId="4" fontId="6" fillId="0" borderId="0" xfId="6" applyNumberFormat="1" applyFont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34" fillId="0" borderId="0" xfId="6" applyFont="1" applyAlignment="1">
      <alignment horizontal="center" vertical="center" wrapText="1"/>
    </xf>
    <xf numFmtId="3" fontId="34" fillId="0" borderId="0" xfId="6" applyNumberFormat="1" applyFont="1" applyAlignment="1">
      <alignment horizontal="center" vertical="center" wrapText="1"/>
    </xf>
    <xf numFmtId="10" fontId="34" fillId="0" borderId="0" xfId="6" applyNumberFormat="1" applyFont="1" applyAlignment="1">
      <alignment horizontal="center" vertical="center" wrapText="1"/>
    </xf>
    <xf numFmtId="2" fontId="34" fillId="0" borderId="0" xfId="8" applyNumberFormat="1" applyFont="1" applyFill="1" applyBorder="1" applyAlignment="1">
      <alignment vertical="center" wrapText="1"/>
    </xf>
    <xf numFmtId="4" fontId="34" fillId="0" borderId="0" xfId="6" applyNumberFormat="1" applyFont="1" applyAlignment="1">
      <alignment horizontal="center" vertical="center" wrapText="1"/>
    </xf>
    <xf numFmtId="165" fontId="6" fillId="0" borderId="1" xfId="6" applyNumberFormat="1" applyFont="1" applyBorder="1" applyAlignment="1">
      <alignment horizontal="center" vertical="center" wrapText="1"/>
    </xf>
    <xf numFmtId="0" fontId="33" fillId="10" borderId="1" xfId="6" applyFont="1" applyFill="1" applyBorder="1" applyAlignment="1">
      <alignment horizontal="center" vertical="center" wrapText="1"/>
    </xf>
    <xf numFmtId="3" fontId="34" fillId="10" borderId="1" xfId="6" applyNumberFormat="1" applyFont="1" applyFill="1" applyBorder="1" applyAlignment="1">
      <alignment horizontal="center" vertical="center" wrapText="1"/>
    </xf>
    <xf numFmtId="2" fontId="34" fillId="10" borderId="1" xfId="6" applyNumberFormat="1" applyFont="1" applyFill="1" applyBorder="1" applyAlignment="1">
      <alignment horizontal="left" vertical="center" wrapText="1"/>
    </xf>
    <xf numFmtId="4" fontId="34" fillId="10" borderId="1" xfId="6" applyNumberFormat="1" applyFont="1" applyFill="1" applyBorder="1" applyAlignment="1">
      <alignment horizontal="center" vertical="center" wrapText="1"/>
    </xf>
    <xf numFmtId="0" fontId="34" fillId="10" borderId="1" xfId="6" applyFont="1" applyFill="1" applyBorder="1" applyAlignment="1">
      <alignment horizontal="center" vertical="center" wrapText="1"/>
    </xf>
    <xf numFmtId="4" fontId="6" fillId="10" borderId="1" xfId="6" applyNumberFormat="1" applyFont="1" applyFill="1" applyBorder="1" applyAlignment="1">
      <alignment horizontal="center" vertical="center" wrapText="1"/>
    </xf>
    <xf numFmtId="0" fontId="5" fillId="0" borderId="60" xfId="6" applyFont="1" applyBorder="1" applyAlignment="1">
      <alignment vertical="center" wrapText="1"/>
    </xf>
    <xf numFmtId="2" fontId="34" fillId="0" borderId="60" xfId="6" applyNumberFormat="1" applyFont="1" applyBorder="1" applyAlignment="1">
      <alignment horizontal="center" vertical="center" wrapText="1"/>
    </xf>
    <xf numFmtId="0" fontId="34" fillId="0" borderId="60" xfId="6" applyFont="1" applyBorder="1" applyAlignment="1">
      <alignment vertical="center" wrapText="1"/>
    </xf>
    <xf numFmtId="0" fontId="5" fillId="0" borderId="33" xfId="6" applyFont="1" applyBorder="1" applyAlignment="1">
      <alignment vertical="center" wrapText="1"/>
    </xf>
    <xf numFmtId="0" fontId="33" fillId="0" borderId="31" xfId="6" applyFont="1" applyBorder="1" applyAlignment="1">
      <alignment horizontal="center" vertical="center" wrapText="1"/>
    </xf>
    <xf numFmtId="0" fontId="5" fillId="0" borderId="56" xfId="6" applyFont="1" applyBorder="1" applyAlignment="1">
      <alignment horizontal="center" vertical="center" wrapText="1"/>
    </xf>
    <xf numFmtId="4" fontId="6" fillId="0" borderId="0" xfId="6" applyNumberFormat="1" applyFont="1" applyAlignment="1">
      <alignment horizontal="left" vertical="center" wrapText="1"/>
    </xf>
    <xf numFmtId="4" fontId="6" fillId="0" borderId="0" xfId="6" applyNumberFormat="1" applyFont="1" applyAlignment="1">
      <alignment vertical="center" wrapText="1"/>
    </xf>
    <xf numFmtId="4" fontId="36" fillId="0" borderId="0" xfId="6" applyNumberFormat="1" applyFont="1" applyAlignment="1">
      <alignment horizontal="center" vertical="center" wrapText="1"/>
    </xf>
    <xf numFmtId="0" fontId="5" fillId="0" borderId="11" xfId="6" applyFont="1" applyBorder="1" applyAlignment="1">
      <alignment horizontal="center" vertical="center" wrapText="1"/>
    </xf>
    <xf numFmtId="4" fontId="36" fillId="0" borderId="12" xfId="6" applyNumberFormat="1" applyFont="1" applyBorder="1" applyAlignment="1">
      <alignment horizontal="center" vertical="center" wrapText="1"/>
    </xf>
    <xf numFmtId="4" fontId="34" fillId="0" borderId="8" xfId="6" applyNumberFormat="1" applyFont="1" applyBorder="1" applyAlignment="1">
      <alignment horizontal="center" vertical="center" wrapText="1"/>
    </xf>
    <xf numFmtId="4" fontId="34" fillId="0" borderId="34" xfId="6" applyNumberFormat="1" applyFont="1" applyBorder="1" applyAlignment="1">
      <alignment horizontal="center" vertical="center" wrapText="1"/>
    </xf>
    <xf numFmtId="4" fontId="34" fillId="0" borderId="72" xfId="6" applyNumberFormat="1" applyFont="1" applyBorder="1" applyAlignment="1">
      <alignment horizontal="center" vertical="center" wrapText="1"/>
    </xf>
    <xf numFmtId="3" fontId="38" fillId="11" borderId="46" xfId="6" applyNumberFormat="1" applyFont="1" applyFill="1" applyBorder="1" applyAlignment="1">
      <alignment horizontal="center" vertical="center" wrapText="1"/>
    </xf>
    <xf numFmtId="4" fontId="38" fillId="11" borderId="1" xfId="6" applyNumberFormat="1" applyFont="1" applyFill="1" applyBorder="1" applyAlignment="1">
      <alignment horizontal="left" vertical="center" wrapText="1"/>
    </xf>
    <xf numFmtId="4" fontId="38" fillId="11" borderId="47" xfId="6" applyNumberFormat="1" applyFont="1" applyFill="1" applyBorder="1" applyAlignment="1">
      <alignment vertical="center" wrapText="1"/>
    </xf>
    <xf numFmtId="4" fontId="38" fillId="11" borderId="46" xfId="6" applyNumberFormat="1" applyFont="1" applyFill="1" applyBorder="1" applyAlignment="1">
      <alignment horizontal="center" vertical="center" wrapText="1"/>
    </xf>
    <xf numFmtId="4" fontId="38" fillId="11" borderId="8" xfId="6" applyNumberFormat="1" applyFont="1" applyFill="1" applyBorder="1" applyAlignment="1">
      <alignment horizontal="center" vertical="center" wrapText="1"/>
    </xf>
    <xf numFmtId="44" fontId="35" fillId="11" borderId="8" xfId="9" applyFont="1" applyFill="1" applyBorder="1" applyAlignment="1">
      <alignment horizontal="center" vertical="center"/>
    </xf>
    <xf numFmtId="44" fontId="35" fillId="11" borderId="73" xfId="9" applyFont="1" applyFill="1" applyBorder="1" applyAlignment="1">
      <alignment horizontal="center" vertical="center"/>
    </xf>
    <xf numFmtId="44" fontId="35" fillId="11" borderId="55" xfId="9" applyFont="1" applyFill="1" applyBorder="1" applyAlignment="1">
      <alignment horizontal="center" vertical="center"/>
    </xf>
    <xf numFmtId="44" fontId="35" fillId="11" borderId="71" xfId="9" applyFont="1" applyFill="1" applyBorder="1" applyAlignment="1">
      <alignment horizontal="center" vertical="center"/>
    </xf>
    <xf numFmtId="44" fontId="35" fillId="11" borderId="72" xfId="9" applyFont="1" applyFill="1" applyBorder="1" applyAlignment="1">
      <alignment horizontal="center" vertical="center"/>
    </xf>
    <xf numFmtId="44" fontId="5" fillId="0" borderId="0" xfId="6" applyNumberFormat="1" applyFont="1" applyAlignment="1">
      <alignment vertical="center" wrapText="1"/>
    </xf>
    <xf numFmtId="0" fontId="6" fillId="0" borderId="46" xfId="6" applyFont="1" applyBorder="1" applyAlignment="1">
      <alignment horizontal="center" vertical="center" wrapText="1"/>
    </xf>
    <xf numFmtId="0" fontId="6" fillId="0" borderId="47" xfId="6" applyFont="1" applyBorder="1" applyAlignment="1">
      <alignment horizontal="center" vertical="center" wrapText="1"/>
    </xf>
    <xf numFmtId="170" fontId="6" fillId="0" borderId="46" xfId="6" applyNumberFormat="1" applyFont="1" applyBorder="1" applyAlignment="1">
      <alignment horizontal="center" vertical="center" wrapText="1"/>
    </xf>
    <xf numFmtId="170" fontId="6" fillId="0" borderId="1" xfId="6" applyNumberFormat="1" applyFont="1" applyBorder="1" applyAlignment="1">
      <alignment horizontal="center" vertical="center" wrapText="1"/>
    </xf>
    <xf numFmtId="44" fontId="6" fillId="0" borderId="1" xfId="6" applyNumberFormat="1" applyFont="1" applyBorder="1" applyAlignment="1">
      <alignment horizontal="center" vertical="center" wrapText="1"/>
    </xf>
    <xf numFmtId="44" fontId="6" fillId="0" borderId="47" xfId="9" applyFont="1" applyFill="1" applyBorder="1" applyAlignment="1">
      <alignment horizontal="center" vertical="center" wrapText="1"/>
    </xf>
    <xf numFmtId="170" fontId="6" fillId="0" borderId="46" xfId="9" applyNumberFormat="1" applyFont="1" applyFill="1" applyBorder="1" applyAlignment="1">
      <alignment horizontal="center" vertical="center" wrapText="1"/>
    </xf>
    <xf numFmtId="44" fontId="6" fillId="0" borderId="47" xfId="6" applyNumberFormat="1" applyFont="1" applyBorder="1" applyAlignment="1">
      <alignment horizontal="center" vertical="center" wrapText="1"/>
    </xf>
    <xf numFmtId="0" fontId="6" fillId="0" borderId="54" xfId="6" applyFont="1" applyBorder="1" applyAlignment="1">
      <alignment horizontal="center" vertical="center" wrapText="1"/>
    </xf>
    <xf numFmtId="0" fontId="6" fillId="0" borderId="7" xfId="6" applyFont="1" applyBorder="1" applyAlignment="1">
      <alignment vertical="center" wrapText="1"/>
    </xf>
    <xf numFmtId="0" fontId="6" fillId="0" borderId="69" xfId="6" applyFont="1" applyBorder="1" applyAlignment="1">
      <alignment horizontal="center" vertical="center" wrapText="1"/>
    </xf>
    <xf numFmtId="170" fontId="6" fillId="0" borderId="54" xfId="6" applyNumberFormat="1" applyFont="1" applyBorder="1" applyAlignment="1">
      <alignment horizontal="center" vertical="center" wrapText="1"/>
    </xf>
    <xf numFmtId="170" fontId="6" fillId="0" borderId="7" xfId="6" applyNumberFormat="1" applyFont="1" applyBorder="1" applyAlignment="1">
      <alignment horizontal="center" vertical="center" wrapText="1"/>
    </xf>
    <xf numFmtId="170" fontId="6" fillId="0" borderId="54" xfId="9" applyNumberFormat="1" applyFont="1" applyFill="1" applyBorder="1" applyAlignment="1">
      <alignment horizontal="center" vertical="center" wrapText="1"/>
    </xf>
    <xf numFmtId="44" fontId="6" fillId="0" borderId="68" xfId="6" applyNumberFormat="1" applyFont="1" applyBorder="1" applyAlignment="1">
      <alignment horizontal="center" vertical="center" wrapText="1"/>
    </xf>
    <xf numFmtId="44" fontId="6" fillId="0" borderId="7" xfId="6" applyNumberFormat="1" applyFont="1" applyBorder="1" applyAlignment="1">
      <alignment horizontal="center" vertical="center" wrapText="1"/>
    </xf>
    <xf numFmtId="44" fontId="6" fillId="0" borderId="69" xfId="9" applyFont="1" applyFill="1" applyBorder="1" applyAlignment="1">
      <alignment horizontal="center" vertical="center" wrapText="1"/>
    </xf>
    <xf numFmtId="44" fontId="6" fillId="0" borderId="3" xfId="6" applyNumberFormat="1" applyFont="1" applyBorder="1" applyAlignment="1">
      <alignment horizontal="center" vertical="center" wrapText="1"/>
    </xf>
    <xf numFmtId="0" fontId="34" fillId="11" borderId="48" xfId="6" applyFont="1" applyFill="1" applyBorder="1" applyAlignment="1">
      <alignment horizontal="center" vertical="center" wrapText="1"/>
    </xf>
    <xf numFmtId="0" fontId="34" fillId="11" borderId="49" xfId="6" applyFont="1" applyFill="1" applyBorder="1" applyAlignment="1">
      <alignment horizontal="center" vertical="center" wrapText="1"/>
    </xf>
    <xf numFmtId="0" fontId="34" fillId="11" borderId="50" xfId="6" applyFont="1" applyFill="1" applyBorder="1" applyAlignment="1">
      <alignment vertical="center" wrapText="1"/>
    </xf>
    <xf numFmtId="170" fontId="34" fillId="11" borderId="48" xfId="6" applyNumberFormat="1" applyFont="1" applyFill="1" applyBorder="1" applyAlignment="1">
      <alignment horizontal="center" vertical="center" wrapText="1"/>
    </xf>
    <xf numFmtId="170" fontId="34" fillId="11" borderId="49" xfId="6" applyNumberFormat="1" applyFont="1" applyFill="1" applyBorder="1" applyAlignment="1">
      <alignment horizontal="center" vertical="center" wrapText="1"/>
    </xf>
    <xf numFmtId="44" fontId="34" fillId="11" borderId="49" xfId="6" applyNumberFormat="1" applyFont="1" applyFill="1" applyBorder="1" applyAlignment="1">
      <alignment horizontal="center" vertical="center" wrapText="1"/>
    </xf>
    <xf numFmtId="170" fontId="34" fillId="11" borderId="74" xfId="6" applyNumberFormat="1" applyFont="1" applyFill="1" applyBorder="1" applyAlignment="1">
      <alignment horizontal="center" vertical="center" wrapText="1"/>
    </xf>
    <xf numFmtId="170" fontId="6" fillId="11" borderId="48" xfId="6" applyNumberFormat="1" applyFont="1" applyFill="1" applyBorder="1" applyAlignment="1">
      <alignment horizontal="center" vertical="center" wrapText="1"/>
    </xf>
    <xf numFmtId="0" fontId="5" fillId="0" borderId="56" xfId="6" applyFont="1" applyBorder="1" applyAlignment="1">
      <alignment vertical="center" wrapText="1"/>
    </xf>
    <xf numFmtId="0" fontId="5" fillId="0" borderId="75" xfId="6" applyFont="1" applyBorder="1" applyAlignment="1">
      <alignment horizontal="center" vertical="center" wrapText="1"/>
    </xf>
    <xf numFmtId="0" fontId="34" fillId="11" borderId="61" xfId="6" applyFont="1" applyFill="1" applyBorder="1" applyAlignment="1">
      <alignment horizontal="center" vertical="center" wrapText="1"/>
    </xf>
    <xf numFmtId="0" fontId="34" fillId="11" borderId="62" xfId="6" applyFont="1" applyFill="1" applyBorder="1" applyAlignment="1">
      <alignment horizontal="center" vertical="center" wrapText="1"/>
    </xf>
    <xf numFmtId="0" fontId="34" fillId="11" borderId="63" xfId="6" applyFont="1" applyFill="1" applyBorder="1" applyAlignment="1">
      <alignment vertical="center" wrapText="1"/>
    </xf>
    <xf numFmtId="10" fontId="34" fillId="11" borderId="31" xfId="10" applyNumberFormat="1" applyFont="1" applyFill="1" applyBorder="1" applyAlignment="1">
      <alignment horizontal="center" vertical="center" wrapText="1"/>
    </xf>
    <xf numFmtId="0" fontId="33" fillId="12" borderId="31" xfId="6" applyFont="1" applyFill="1" applyBorder="1" applyAlignment="1">
      <alignment horizontal="center" vertical="top" wrapText="1"/>
    </xf>
    <xf numFmtId="44" fontId="33" fillId="13" borderId="31" xfId="10" applyNumberFormat="1" applyFont="1" applyFill="1" applyBorder="1" applyAlignment="1">
      <alignment horizontal="center" vertical="top" wrapText="1"/>
    </xf>
    <xf numFmtId="44" fontId="33" fillId="13" borderId="31" xfId="9" applyFont="1" applyFill="1" applyBorder="1" applyAlignment="1">
      <alignment horizontal="center" vertical="top" wrapText="1"/>
    </xf>
    <xf numFmtId="49" fontId="33" fillId="12" borderId="31" xfId="6" applyNumberFormat="1" applyFont="1" applyFill="1" applyBorder="1" applyAlignment="1">
      <alignment horizontal="center" vertical="top" wrapText="1"/>
    </xf>
    <xf numFmtId="44" fontId="5" fillId="0" borderId="0" xfId="6" applyNumberFormat="1" applyFont="1" applyAlignment="1">
      <alignment horizontal="center" vertical="center" wrapText="1"/>
    </xf>
    <xf numFmtId="4" fontId="5" fillId="0" borderId="0" xfId="6" applyNumberFormat="1" applyFont="1" applyAlignment="1">
      <alignment horizontal="center" vertical="center" wrapText="1"/>
    </xf>
    <xf numFmtId="44" fontId="5" fillId="0" borderId="0" xfId="9" applyFont="1" applyFill="1" applyAlignment="1">
      <alignment horizontal="center" vertical="center" wrapText="1"/>
    </xf>
    <xf numFmtId="44" fontId="5" fillId="0" borderId="0" xfId="10" applyNumberFormat="1" applyFont="1" applyFill="1" applyAlignment="1">
      <alignment horizontal="center" vertical="center" wrapText="1"/>
    </xf>
    <xf numFmtId="8" fontId="5" fillId="0" borderId="0" xfId="6" applyNumberFormat="1" applyFont="1" applyAlignment="1">
      <alignment horizontal="center" vertical="center" wrapText="1"/>
    </xf>
    <xf numFmtId="0" fontId="27" fillId="4" borderId="46" xfId="0" applyFont="1" applyFill="1" applyBorder="1" applyAlignment="1">
      <alignment horizontal="left" vertical="center" wrapText="1"/>
    </xf>
    <xf numFmtId="0" fontId="5" fillId="0" borderId="0" xfId="6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6" fillId="0" borderId="1" xfId="6" applyNumberFormat="1" applyFont="1" applyBorder="1" applyAlignment="1">
      <alignment horizontal="center" vertical="center" wrapText="1"/>
    </xf>
    <xf numFmtId="0" fontId="39" fillId="2" borderId="79" xfId="7" applyFont="1" applyFill="1" applyBorder="1" applyAlignment="1">
      <alignment horizontal="center" vertical="center" wrapText="1"/>
    </xf>
    <xf numFmtId="0" fontId="39" fillId="2" borderId="31" xfId="7" applyFont="1" applyFill="1" applyBorder="1" applyAlignment="1">
      <alignment horizontal="center" vertical="center" wrapText="1"/>
    </xf>
    <xf numFmtId="0" fontId="40" fillId="2" borderId="31" xfId="7" applyFont="1" applyFill="1" applyBorder="1" applyAlignment="1">
      <alignment horizontal="center" vertical="center" wrapText="1"/>
    </xf>
    <xf numFmtId="0" fontId="40" fillId="2" borderId="80" xfId="7" applyFont="1" applyFill="1" applyBorder="1" applyAlignment="1">
      <alignment horizontal="center" vertical="center" wrapText="1"/>
    </xf>
    <xf numFmtId="10" fontId="2" fillId="0" borderId="31" xfId="3" applyNumberFormat="1" applyFont="1" applyFill="1" applyBorder="1" applyAlignment="1">
      <alignment horizontal="center" wrapText="1"/>
    </xf>
    <xf numFmtId="8" fontId="2" fillId="0" borderId="31" xfId="3" applyNumberFormat="1" applyFont="1" applyFill="1" applyBorder="1" applyAlignment="1">
      <alignment horizontal="center" wrapText="1"/>
    </xf>
    <xf numFmtId="8" fontId="12" fillId="0" borderId="31" xfId="2" applyNumberFormat="1" applyFont="1" applyFill="1" applyBorder="1" applyAlignment="1">
      <alignment horizontal="center" vertical="center" wrapText="1"/>
    </xf>
    <xf numFmtId="44" fontId="12" fillId="0" borderId="31" xfId="2" applyFont="1" applyFill="1" applyBorder="1" applyAlignment="1">
      <alignment horizontal="center" vertical="center" wrapText="1"/>
    </xf>
    <xf numFmtId="44" fontId="12" fillId="0" borderId="80" xfId="2" applyFont="1" applyFill="1" applyBorder="1" applyAlignment="1">
      <alignment horizontal="center" vertical="center" wrapText="1"/>
    </xf>
    <xf numFmtId="8" fontId="2" fillId="0" borderId="31" xfId="7" applyNumberFormat="1" applyFont="1" applyBorder="1" applyAlignment="1">
      <alignment horizontal="center" wrapText="1"/>
    </xf>
    <xf numFmtId="8" fontId="12" fillId="0" borderId="80" xfId="2" applyNumberFormat="1" applyFont="1" applyFill="1" applyBorder="1" applyAlignment="1">
      <alignment horizontal="center" vertical="center" wrapText="1"/>
    </xf>
    <xf numFmtId="8" fontId="14" fillId="0" borderId="21" xfId="2" applyNumberFormat="1" applyFont="1" applyBorder="1" applyAlignment="1">
      <alignment horizontal="center" vertical="center" wrapText="1"/>
    </xf>
    <xf numFmtId="10" fontId="2" fillId="14" borderId="31" xfId="3" applyNumberFormat="1" applyFont="1" applyFill="1" applyBorder="1" applyAlignment="1">
      <alignment horizontal="center" wrapText="1"/>
    </xf>
    <xf numFmtId="168" fontId="6" fillId="0" borderId="1" xfId="6" applyNumberFormat="1" applyFont="1" applyBorder="1" applyAlignment="1">
      <alignment horizontal="center" vertical="center" wrapText="1"/>
    </xf>
    <xf numFmtId="171" fontId="6" fillId="0" borderId="1" xfId="1" applyNumberFormat="1" applyFont="1" applyBorder="1" applyAlignment="1">
      <alignment horizontal="center" vertical="center" wrapText="1"/>
    </xf>
    <xf numFmtId="171" fontId="6" fillId="0" borderId="1" xfId="6" applyNumberFormat="1" applyFont="1" applyBorder="1" applyAlignment="1">
      <alignment horizontal="center" vertical="center" wrapText="1"/>
    </xf>
    <xf numFmtId="172" fontId="6" fillId="0" borderId="1" xfId="6" applyNumberFormat="1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4" fontId="31" fillId="0" borderId="46" xfId="0" applyNumberFormat="1" applyFont="1" applyBorder="1" applyAlignment="1">
      <alignment horizontal="right" vertical="center"/>
    </xf>
    <xf numFmtId="0" fontId="29" fillId="0" borderId="46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4" fontId="6" fillId="0" borderId="46" xfId="6" applyNumberFormat="1" applyFont="1" applyBorder="1" applyAlignment="1">
      <alignment horizontal="center" vertical="center" wrapText="1"/>
    </xf>
    <xf numFmtId="4" fontId="31" fillId="5" borderId="1" xfId="0" applyNumberFormat="1" applyFont="1" applyFill="1" applyBorder="1" applyAlignment="1">
      <alignment horizontal="right" vertical="center"/>
    </xf>
    <xf numFmtId="4" fontId="28" fillId="4" borderId="1" xfId="0" applyNumberFormat="1" applyFont="1" applyFill="1" applyBorder="1" applyAlignment="1">
      <alignment horizontal="left" vertical="center" wrapText="1"/>
    </xf>
    <xf numFmtId="2" fontId="7" fillId="5" borderId="0" xfId="0" applyNumberFormat="1" applyFont="1" applyFill="1" applyAlignment="1">
      <alignment vertical="center"/>
    </xf>
    <xf numFmtId="2" fontId="41" fillId="5" borderId="1" xfId="0" applyNumberFormat="1" applyFont="1" applyFill="1" applyBorder="1" applyAlignment="1">
      <alignment horizontal="right" vertical="top" wrapText="1"/>
    </xf>
    <xf numFmtId="0" fontId="41" fillId="5" borderId="1" xfId="0" applyFont="1" applyFill="1" applyBorder="1" applyAlignment="1">
      <alignment horizontal="right" vertical="top" wrapText="1"/>
    </xf>
    <xf numFmtId="4" fontId="16" fillId="5" borderId="1" xfId="0" applyNumberFormat="1" applyFont="1" applyFill="1" applyBorder="1" applyAlignment="1">
      <alignment horizontal="right" vertical="center"/>
    </xf>
    <xf numFmtId="0" fontId="5" fillId="0" borderId="0" xfId="6" applyFont="1" applyFill="1" applyAlignment="1">
      <alignment vertical="center" wrapText="1"/>
    </xf>
    <xf numFmtId="44" fontId="42" fillId="13" borderId="31" xfId="9" applyFont="1" applyFill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0" borderId="54" xfId="0" applyNumberFormat="1" applyFont="1" applyBorder="1" applyAlignment="1">
      <alignment horizontal="center" vertical="center" wrapText="1"/>
    </xf>
    <xf numFmtId="4" fontId="18" fillId="0" borderId="55" xfId="0" applyNumberFormat="1" applyFont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4" fontId="18" fillId="5" borderId="45" xfId="0" applyNumberFormat="1" applyFont="1" applyFill="1" applyBorder="1" applyAlignment="1">
      <alignment horizontal="center" vertical="center" wrapText="1"/>
    </xf>
    <xf numFmtId="4" fontId="18" fillId="5" borderId="47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4" fontId="18" fillId="5" borderId="1" xfId="0" applyNumberFormat="1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 wrapText="1"/>
    </xf>
    <xf numFmtId="4" fontId="18" fillId="5" borderId="57" xfId="0" applyNumberFormat="1" applyFont="1" applyFill="1" applyBorder="1" applyAlignment="1">
      <alignment horizontal="center" vertical="center" wrapText="1"/>
    </xf>
    <xf numFmtId="4" fontId="18" fillId="5" borderId="58" xfId="0" applyNumberFormat="1" applyFont="1" applyFill="1" applyBorder="1" applyAlignment="1">
      <alignment horizontal="center" vertical="center" wrapText="1"/>
    </xf>
    <xf numFmtId="4" fontId="18" fillId="5" borderId="59" xfId="0" applyNumberFormat="1" applyFont="1" applyFill="1" applyBorder="1" applyAlignment="1">
      <alignment horizontal="center" vertical="center" wrapText="1"/>
    </xf>
    <xf numFmtId="4" fontId="18" fillId="5" borderId="26" xfId="0" applyNumberFormat="1" applyFont="1" applyFill="1" applyBorder="1" applyAlignment="1">
      <alignment horizontal="center" vertical="center" wrapText="1"/>
    </xf>
    <xf numFmtId="4" fontId="18" fillId="5" borderId="51" xfId="0" applyNumberFormat="1" applyFont="1" applyFill="1" applyBorder="1" applyAlignment="1">
      <alignment horizontal="center" vertical="center" wrapText="1"/>
    </xf>
    <xf numFmtId="4" fontId="18" fillId="5" borderId="52" xfId="0" applyNumberFormat="1" applyFont="1" applyFill="1" applyBorder="1" applyAlignment="1">
      <alignment horizontal="center" vertical="center" wrapText="1"/>
    </xf>
    <xf numFmtId="4" fontId="18" fillId="5" borderId="53" xfId="0" applyNumberFormat="1" applyFont="1" applyFill="1" applyBorder="1" applyAlignment="1">
      <alignment horizontal="center" vertical="center" wrapText="1"/>
    </xf>
    <xf numFmtId="4" fontId="18" fillId="5" borderId="34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5" borderId="44" xfId="0" applyFont="1" applyFill="1" applyBorder="1" applyAlignment="1">
      <alignment horizontal="center" vertical="center" wrapText="1"/>
    </xf>
    <xf numFmtId="43" fontId="18" fillId="5" borderId="44" xfId="1" applyFont="1" applyFill="1" applyBorder="1" applyAlignment="1">
      <alignment horizontal="center" vertical="center" wrapText="1"/>
    </xf>
    <xf numFmtId="43" fontId="18" fillId="5" borderId="1" xfId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left" vertical="center" wrapText="1"/>
    </xf>
    <xf numFmtId="0" fontId="17" fillId="5" borderId="12" xfId="0" applyFont="1" applyFill="1" applyBorder="1" applyAlignment="1">
      <alignment horizontal="left" vertical="center" wrapText="1"/>
    </xf>
    <xf numFmtId="4" fontId="18" fillId="5" borderId="14" xfId="0" applyNumberFormat="1" applyFont="1" applyFill="1" applyBorder="1" applyAlignment="1">
      <alignment horizontal="center" vertical="center" wrapText="1"/>
    </xf>
    <xf numFmtId="4" fontId="18" fillId="5" borderId="1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7" fillId="0" borderId="0" xfId="2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0" borderId="5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10" fontId="34" fillId="0" borderId="1" xfId="6" applyNumberFormat="1" applyFont="1" applyBorder="1" applyAlignment="1">
      <alignment horizontal="center" vertical="center" wrapText="1"/>
    </xf>
    <xf numFmtId="0" fontId="34" fillId="0" borderId="0" xfId="7" applyFont="1" applyAlignment="1">
      <alignment horizontal="left" vertical="center" wrapText="1"/>
    </xf>
    <xf numFmtId="0" fontId="6" fillId="0" borderId="0" xfId="7" applyFont="1" applyAlignment="1">
      <alignment horizontal="left" vertical="center" wrapText="1"/>
    </xf>
    <xf numFmtId="14" fontId="34" fillId="0" borderId="0" xfId="7" applyNumberFormat="1" applyFont="1" applyAlignment="1">
      <alignment horizontal="left" vertical="center" wrapText="1"/>
    </xf>
    <xf numFmtId="0" fontId="6" fillId="0" borderId="1" xfId="6" applyFont="1" applyBorder="1" applyAlignment="1">
      <alignment horizontal="center" vertical="center" wrapText="1"/>
    </xf>
    <xf numFmtId="0" fontId="33" fillId="9" borderId="61" xfId="6" applyFont="1" applyFill="1" applyBorder="1" applyAlignment="1">
      <alignment horizontal="center" vertical="center" wrapText="1"/>
    </xf>
    <xf numFmtId="0" fontId="33" fillId="9" borderId="62" xfId="6" applyFont="1" applyFill="1" applyBorder="1" applyAlignment="1">
      <alignment horizontal="center" vertical="center" wrapText="1"/>
    </xf>
    <xf numFmtId="0" fontId="33" fillId="9" borderId="63" xfId="6" applyFont="1" applyFill="1" applyBorder="1" applyAlignment="1">
      <alignment horizontal="center" vertical="center" wrapText="1"/>
    </xf>
    <xf numFmtId="0" fontId="34" fillId="0" borderId="0" xfId="6" applyFont="1" applyAlignment="1">
      <alignment horizontal="left" vertical="center" wrapText="1"/>
    </xf>
    <xf numFmtId="0" fontId="5" fillId="0" borderId="0" xfId="6" applyFont="1" applyAlignment="1">
      <alignment horizontal="left" vertical="center" wrapText="1"/>
    </xf>
    <xf numFmtId="0" fontId="1" fillId="0" borderId="0" xfId="6" applyAlignment="1">
      <alignment horizontal="left" vertical="center" wrapText="1"/>
    </xf>
    <xf numFmtId="0" fontId="6" fillId="0" borderId="0" xfId="9" applyNumberFormat="1" applyFont="1" applyFill="1" applyBorder="1" applyAlignment="1">
      <alignment horizontal="left" vertical="center" wrapText="1"/>
    </xf>
    <xf numFmtId="0" fontId="6" fillId="0" borderId="0" xfId="6" applyFont="1" applyAlignment="1">
      <alignment horizontal="left" vertical="center" wrapText="1"/>
    </xf>
    <xf numFmtId="0" fontId="33" fillId="0" borderId="43" xfId="6" applyFont="1" applyBorder="1" applyAlignment="1">
      <alignment horizontal="center" vertical="center" wrapText="1"/>
    </xf>
    <xf numFmtId="0" fontId="33" fillId="0" borderId="46" xfId="6" applyFont="1" applyBorder="1" applyAlignment="1">
      <alignment horizontal="center" vertical="center" wrapText="1"/>
    </xf>
    <xf numFmtId="4" fontId="34" fillId="0" borderId="44" xfId="6" applyNumberFormat="1" applyFont="1" applyBorder="1" applyAlignment="1">
      <alignment horizontal="center" vertical="center" wrapText="1"/>
    </xf>
    <xf numFmtId="4" fontId="34" fillId="0" borderId="1" xfId="6" applyNumberFormat="1" applyFont="1" applyBorder="1" applyAlignment="1">
      <alignment horizontal="center" vertical="center" wrapText="1"/>
    </xf>
    <xf numFmtId="4" fontId="34" fillId="0" borderId="45" xfId="6" applyNumberFormat="1" applyFont="1" applyBorder="1" applyAlignment="1">
      <alignment horizontal="center" vertical="center" wrapText="1"/>
    </xf>
    <xf numFmtId="4" fontId="34" fillId="0" borderId="47" xfId="6" applyNumberFormat="1" applyFont="1" applyBorder="1" applyAlignment="1">
      <alignment horizontal="center" vertical="center" wrapText="1"/>
    </xf>
    <xf numFmtId="4" fontId="34" fillId="9" borderId="51" xfId="6" applyNumberFormat="1" applyFont="1" applyFill="1" applyBorder="1" applyAlignment="1">
      <alignment horizontal="center" vertical="center" wrapText="1"/>
    </xf>
    <xf numFmtId="4" fontId="34" fillId="9" borderId="52" xfId="6" applyNumberFormat="1" applyFont="1" applyFill="1" applyBorder="1" applyAlignment="1">
      <alignment horizontal="center" vertical="center" wrapText="1"/>
    </xf>
    <xf numFmtId="4" fontId="34" fillId="9" borderId="64" xfId="6" applyNumberFormat="1" applyFont="1" applyFill="1" applyBorder="1" applyAlignment="1">
      <alignment horizontal="center" vertical="center" wrapText="1"/>
    </xf>
    <xf numFmtId="4" fontId="34" fillId="9" borderId="65" xfId="6" applyNumberFormat="1" applyFont="1" applyFill="1" applyBorder="1" applyAlignment="1">
      <alignment horizontal="center" vertical="center" wrapText="1"/>
    </xf>
    <xf numFmtId="4" fontId="34" fillId="9" borderId="66" xfId="6" applyNumberFormat="1" applyFont="1" applyFill="1" applyBorder="1" applyAlignment="1">
      <alignment horizontal="center" vertical="center" wrapText="1"/>
    </xf>
    <xf numFmtId="4" fontId="34" fillId="9" borderId="67" xfId="6" applyNumberFormat="1" applyFont="1" applyFill="1" applyBorder="1" applyAlignment="1">
      <alignment horizontal="center" vertical="center" wrapText="1"/>
    </xf>
    <xf numFmtId="4" fontId="34" fillId="0" borderId="54" xfId="6" applyNumberFormat="1" applyFont="1" applyBorder="1" applyAlignment="1">
      <alignment horizontal="center" vertical="center" wrapText="1"/>
    </xf>
    <xf numFmtId="4" fontId="34" fillId="0" borderId="70" xfId="6" applyNumberFormat="1" applyFont="1" applyBorder="1" applyAlignment="1">
      <alignment horizontal="center" vertical="center" wrapText="1"/>
    </xf>
    <xf numFmtId="4" fontId="34" fillId="0" borderId="55" xfId="6" applyNumberFormat="1" applyFont="1" applyBorder="1" applyAlignment="1">
      <alignment horizontal="center" vertical="center" wrapText="1"/>
    </xf>
    <xf numFmtId="4" fontId="34" fillId="9" borderId="2" xfId="6" applyNumberFormat="1" applyFont="1" applyFill="1" applyBorder="1" applyAlignment="1">
      <alignment horizontal="center" vertical="center" wrapText="1"/>
    </xf>
    <xf numFmtId="4" fontId="34" fillId="9" borderId="3" xfId="6" applyNumberFormat="1" applyFont="1" applyFill="1" applyBorder="1" applyAlignment="1">
      <alignment horizontal="center" vertical="center" wrapText="1"/>
    </xf>
    <xf numFmtId="4" fontId="34" fillId="9" borderId="68" xfId="6" applyNumberFormat="1" applyFont="1" applyFill="1" applyBorder="1" applyAlignment="1">
      <alignment horizontal="center" vertical="center" wrapText="1"/>
    </xf>
    <xf numFmtId="4" fontId="34" fillId="9" borderId="4" xfId="6" applyNumberFormat="1" applyFont="1" applyFill="1" applyBorder="1" applyAlignment="1">
      <alignment horizontal="center" vertical="center" wrapText="1"/>
    </xf>
    <xf numFmtId="4" fontId="34" fillId="9" borderId="72" xfId="6" applyNumberFormat="1" applyFont="1" applyFill="1" applyBorder="1" applyAlignment="1">
      <alignment horizontal="center" vertical="center" wrapText="1"/>
    </xf>
    <xf numFmtId="4" fontId="34" fillId="9" borderId="7" xfId="6" applyNumberFormat="1" applyFont="1" applyFill="1" applyBorder="1" applyAlignment="1">
      <alignment horizontal="center" vertical="center" wrapText="1"/>
    </xf>
    <xf numFmtId="4" fontId="34" fillId="9" borderId="8" xfId="6" applyNumberFormat="1" applyFont="1" applyFill="1" applyBorder="1" applyAlignment="1">
      <alignment horizontal="center" vertical="center" wrapText="1"/>
    </xf>
    <xf numFmtId="0" fontId="33" fillId="12" borderId="77" xfId="6" applyFont="1" applyFill="1" applyBorder="1" applyAlignment="1">
      <alignment horizontal="center" vertical="top" wrapText="1"/>
    </xf>
    <xf numFmtId="0" fontId="33" fillId="12" borderId="78" xfId="6" applyFont="1" applyFill="1" applyBorder="1" applyAlignment="1">
      <alignment horizontal="center" vertical="top" wrapText="1"/>
    </xf>
    <xf numFmtId="4" fontId="34" fillId="9" borderId="69" xfId="6" applyNumberFormat="1" applyFont="1" applyFill="1" applyBorder="1" applyAlignment="1">
      <alignment horizontal="center" vertical="center" wrapText="1"/>
    </xf>
    <xf numFmtId="4" fontId="34" fillId="9" borderId="73" xfId="6" applyNumberFormat="1" applyFont="1" applyFill="1" applyBorder="1" applyAlignment="1">
      <alignment horizontal="center" vertical="center" wrapText="1"/>
    </xf>
    <xf numFmtId="4" fontId="34" fillId="9" borderId="71" xfId="6" applyNumberFormat="1" applyFont="1" applyFill="1" applyBorder="1" applyAlignment="1">
      <alignment horizontal="center" vertical="center" wrapText="1"/>
    </xf>
    <xf numFmtId="44" fontId="34" fillId="11" borderId="76" xfId="6" applyNumberFormat="1" applyFont="1" applyFill="1" applyBorder="1" applyAlignment="1">
      <alignment horizontal="center" vertical="center" wrapText="1"/>
    </xf>
    <xf numFmtId="44" fontId="34" fillId="11" borderId="77" xfId="6" applyNumberFormat="1" applyFont="1" applyFill="1" applyBorder="1" applyAlignment="1">
      <alignment horizontal="center" vertical="center" wrapText="1"/>
    </xf>
    <xf numFmtId="44" fontId="34" fillId="11" borderId="78" xfId="6" applyNumberFormat="1" applyFont="1" applyFill="1" applyBorder="1" applyAlignment="1">
      <alignment horizontal="center" vertical="center" wrapText="1"/>
    </xf>
    <xf numFmtId="170" fontId="34" fillId="11" borderId="76" xfId="6" applyNumberFormat="1" applyFont="1" applyFill="1" applyBorder="1" applyAlignment="1">
      <alignment horizontal="center" vertical="center" wrapText="1"/>
    </xf>
    <xf numFmtId="170" fontId="34" fillId="11" borderId="78" xfId="6" applyNumberFormat="1" applyFont="1" applyFill="1" applyBorder="1" applyAlignment="1">
      <alignment horizontal="center" vertical="center" wrapText="1"/>
    </xf>
    <xf numFmtId="0" fontId="2" fillId="0" borderId="31" xfId="7" applyFont="1" applyBorder="1" applyAlignment="1">
      <alignment horizontal="center" vertical="center" wrapText="1"/>
    </xf>
    <xf numFmtId="0" fontId="2" fillId="0" borderId="79" xfId="7" applyFont="1" applyBorder="1" applyAlignment="1">
      <alignment horizontal="center" vertical="center" wrapText="1"/>
    </xf>
    <xf numFmtId="0" fontId="2" fillId="0" borderId="32" xfId="7" applyFont="1" applyBorder="1" applyAlignment="1">
      <alignment horizontal="center" vertical="center" wrapText="1"/>
    </xf>
    <xf numFmtId="0" fontId="2" fillId="0" borderId="33" xfId="7" applyFont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left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38" xfId="0" applyFont="1" applyFill="1" applyBorder="1" applyAlignment="1">
      <alignment horizontal="left" wrapText="1"/>
    </xf>
    <xf numFmtId="0" fontId="15" fillId="2" borderId="39" xfId="0" applyFont="1" applyFill="1" applyBorder="1" applyAlignment="1">
      <alignment horizontal="left" wrapText="1"/>
    </xf>
    <xf numFmtId="0" fontId="15" fillId="2" borderId="40" xfId="0" applyFont="1" applyFill="1" applyBorder="1" applyAlignment="1">
      <alignment horizontal="left" wrapText="1"/>
    </xf>
    <xf numFmtId="0" fontId="22" fillId="5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2" applyNumberFormat="1" applyFont="1" applyBorder="1" applyAlignment="1">
      <alignment horizontal="left" vertical="center" wrapText="1"/>
    </xf>
  </cellXfs>
  <cellStyles count="11">
    <cellStyle name="Moeda" xfId="2" builtinId="4"/>
    <cellStyle name="Moeda 2" xfId="9"/>
    <cellStyle name="Normal" xfId="0" builtinId="0"/>
    <cellStyle name="Normal 2" xfId="6"/>
    <cellStyle name="Normal 2 2" xfId="7"/>
    <cellStyle name="Normal 7" xfId="5"/>
    <cellStyle name="Porcentagem" xfId="3" builtinId="5"/>
    <cellStyle name="Porcentagem 2" xfId="4"/>
    <cellStyle name="Porcentagem 3" xfId="10"/>
    <cellStyle name="Vírgula" xfId="1" builtinId="3"/>
    <cellStyle name="Vírgula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89646</xdr:colOff>
      <xdr:row>0</xdr:row>
      <xdr:rowOff>176181</xdr:rowOff>
    </xdr:from>
    <xdr:to>
      <xdr:col>12</xdr:col>
      <xdr:colOff>1059594</xdr:colOff>
      <xdr:row>6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98225C8E-B84D-41FE-8984-B3EE2E2A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99" y="176181"/>
          <a:ext cx="1888830" cy="910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123826</xdr:rowOff>
    </xdr:from>
    <xdr:to>
      <xdr:col>10</xdr:col>
      <xdr:colOff>457200</xdr:colOff>
      <xdr:row>5</xdr:row>
      <xdr:rowOff>147376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3934B3D1-2DF9-4840-BD63-07E12E20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0" y="123826"/>
          <a:ext cx="2409825" cy="76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1150620</xdr:colOff>
      <xdr:row>1</xdr:row>
      <xdr:rowOff>83820</xdr:rowOff>
    </xdr:from>
    <xdr:to>
      <xdr:col>6</xdr:col>
      <xdr:colOff>1519933</xdr:colOff>
      <xdr:row>6</xdr:row>
      <xdr:rowOff>39868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82BDFDD-A273-46C5-B36F-759EC9AA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0120" y="274320"/>
          <a:ext cx="1893313" cy="908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E241"/>
  <sheetViews>
    <sheetView showGridLines="0" showZeros="0" tabSelected="1" showOutlineSymbols="0" showWhiteSpace="0" view="pageBreakPreview" topLeftCell="A82" zoomScale="80" zoomScaleNormal="80" zoomScaleSheetLayoutView="80" workbookViewId="0">
      <selection activeCell="A6" sqref="A6:L6"/>
    </sheetView>
  </sheetViews>
  <sheetFormatPr defaultColWidth="9" defaultRowHeight="14.25" x14ac:dyDescent="0.2"/>
  <cols>
    <col min="1" max="1" width="7.25" style="1" customWidth="1"/>
    <col min="2" max="2" width="60" style="1" bestFit="1" customWidth="1"/>
    <col min="3" max="3" width="5" style="1" bestFit="1" customWidth="1"/>
    <col min="4" max="4" width="12.75" style="8" customWidth="1"/>
    <col min="5" max="5" width="9.75" style="10" customWidth="1"/>
    <col min="6" max="6" width="8.625" style="11" bestFit="1" customWidth="1"/>
    <col min="7" max="7" width="12.375" style="11" bestFit="1" customWidth="1"/>
    <col min="8" max="8" width="13.125" style="11" customWidth="1"/>
    <col min="9" max="9" width="15.875" style="11" customWidth="1"/>
    <col min="10" max="10" width="12.375" style="11" customWidth="1"/>
    <col min="11" max="11" width="21.25" style="11" customWidth="1"/>
    <col min="12" max="12" width="12.125" style="12" customWidth="1"/>
    <col min="13" max="13" width="15.125" style="12" customWidth="1"/>
    <col min="14" max="15" width="9" style="1"/>
    <col min="16" max="16" width="18.375" style="1" customWidth="1"/>
    <col min="17" max="17" width="14" style="1" customWidth="1"/>
    <col min="18" max="16384" width="9" style="1"/>
  </cols>
  <sheetData>
    <row r="1" spans="1:213" x14ac:dyDescent="0.2">
      <c r="A1" s="95"/>
      <c r="B1" s="271"/>
      <c r="C1" s="271"/>
      <c r="D1" s="271"/>
      <c r="E1" s="271"/>
      <c r="F1" s="23"/>
      <c r="G1" s="12"/>
      <c r="H1" s="12"/>
      <c r="I1" s="12"/>
      <c r="J1" s="12"/>
      <c r="K1" s="12"/>
    </row>
    <row r="2" spans="1:213" x14ac:dyDescent="0.2">
      <c r="A2" s="279" t="s">
        <v>62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213" x14ac:dyDescent="0.2">
      <c r="A3" s="280" t="s">
        <v>112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213" ht="15" customHeight="1" x14ac:dyDescent="0.2">
      <c r="A4" s="282" t="s">
        <v>63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213" ht="14.25" customHeight="1" x14ac:dyDescent="0.2">
      <c r="A5" s="283" t="s">
        <v>113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</row>
    <row r="6" spans="1:213" ht="14.25" customHeight="1" x14ac:dyDescent="0.2">
      <c r="A6" s="283" t="s">
        <v>114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</row>
    <row r="7" spans="1:213" ht="15" thickBot="1" x14ac:dyDescent="0.25">
      <c r="A7" s="275"/>
      <c r="B7" s="275"/>
      <c r="C7" s="275"/>
      <c r="D7" s="275"/>
      <c r="E7" s="275"/>
      <c r="F7" s="276"/>
      <c r="G7" s="12"/>
      <c r="H7" s="12"/>
      <c r="I7" s="12"/>
      <c r="J7" s="12"/>
      <c r="K7" s="12"/>
    </row>
    <row r="8" spans="1:213" s="6" customFormat="1" ht="20.100000000000001" customHeight="1" x14ac:dyDescent="0.2">
      <c r="A8" s="261" t="s">
        <v>31</v>
      </c>
      <c r="B8" s="272" t="s">
        <v>32</v>
      </c>
      <c r="C8" s="272" t="s">
        <v>29</v>
      </c>
      <c r="D8" s="273" t="s">
        <v>30</v>
      </c>
      <c r="E8" s="272" t="s">
        <v>27</v>
      </c>
      <c r="F8" s="272"/>
      <c r="G8" s="257" t="s">
        <v>28</v>
      </c>
      <c r="H8" s="267" t="s">
        <v>50</v>
      </c>
      <c r="I8" s="268"/>
      <c r="J8" s="268"/>
      <c r="K8" s="268"/>
      <c r="L8" s="263" t="s">
        <v>55</v>
      </c>
      <c r="M8" s="264"/>
    </row>
    <row r="9" spans="1:213" s="9" customFormat="1" ht="20.100000000000001" customHeight="1" x14ac:dyDescent="0.2">
      <c r="A9" s="262"/>
      <c r="B9" s="259"/>
      <c r="C9" s="259"/>
      <c r="D9" s="274"/>
      <c r="E9" s="259"/>
      <c r="F9" s="259"/>
      <c r="G9" s="258"/>
      <c r="H9" s="269"/>
      <c r="I9" s="270"/>
      <c r="J9" s="270"/>
      <c r="K9" s="270"/>
      <c r="L9" s="265"/>
      <c r="M9" s="266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</row>
    <row r="10" spans="1:213" s="6" customFormat="1" ht="20.100000000000001" customHeight="1" x14ac:dyDescent="0.2">
      <c r="A10" s="262"/>
      <c r="B10" s="259"/>
      <c r="C10" s="259"/>
      <c r="D10" s="274"/>
      <c r="E10" s="259" t="s">
        <v>25</v>
      </c>
      <c r="F10" s="260" t="s">
        <v>26</v>
      </c>
      <c r="G10" s="258"/>
      <c r="H10" s="253" t="s">
        <v>51</v>
      </c>
      <c r="I10" s="249" t="s">
        <v>52</v>
      </c>
      <c r="J10" s="249" t="s">
        <v>53</v>
      </c>
      <c r="K10" s="251" t="s">
        <v>54</v>
      </c>
      <c r="L10" s="277" t="s">
        <v>56</v>
      </c>
      <c r="M10" s="278" t="s">
        <v>57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</row>
    <row r="11" spans="1:213" s="6" customFormat="1" ht="46.9" customHeight="1" x14ac:dyDescent="0.2">
      <c r="A11" s="262"/>
      <c r="B11" s="259"/>
      <c r="C11" s="259"/>
      <c r="D11" s="274"/>
      <c r="E11" s="259"/>
      <c r="F11" s="260"/>
      <c r="G11" s="258"/>
      <c r="H11" s="254"/>
      <c r="I11" s="250"/>
      <c r="J11" s="250"/>
      <c r="K11" s="252"/>
      <c r="L11" s="277"/>
      <c r="M11" s="278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</row>
    <row r="12" spans="1:213" s="38" customFormat="1" ht="24.95" customHeight="1" x14ac:dyDescent="0.2">
      <c r="A12" s="210" t="s">
        <v>2</v>
      </c>
      <c r="B12" s="71" t="s">
        <v>115</v>
      </c>
      <c r="C12" s="72"/>
      <c r="D12" s="73"/>
      <c r="E12" s="72"/>
      <c r="F12" s="72"/>
      <c r="G12" s="74">
        <f>G13</f>
        <v>11438.2</v>
      </c>
      <c r="H12" s="96"/>
      <c r="I12" s="49">
        <f>I13</f>
        <v>0</v>
      </c>
      <c r="J12" s="73"/>
      <c r="K12" s="49">
        <f>K13</f>
        <v>0</v>
      </c>
      <c r="L12" s="75"/>
      <c r="M12" s="76">
        <f>M13</f>
        <v>11438.2</v>
      </c>
      <c r="N12" s="42"/>
      <c r="O12" s="42"/>
      <c r="P12" s="42"/>
      <c r="Q12" s="65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</row>
    <row r="13" spans="1:213" x14ac:dyDescent="0.2">
      <c r="A13" s="210" t="s">
        <v>4</v>
      </c>
      <c r="B13" s="71" t="s">
        <v>3</v>
      </c>
      <c r="C13" s="72"/>
      <c r="D13" s="73"/>
      <c r="E13" s="72"/>
      <c r="F13" s="72"/>
      <c r="G13" s="74">
        <f>SUM(G14:G22)</f>
        <v>11438.2</v>
      </c>
      <c r="H13" s="96"/>
      <c r="I13" s="49">
        <f>SUM(I14:I22)</f>
        <v>0</v>
      </c>
      <c r="J13" s="73"/>
      <c r="K13" s="49">
        <f>SUM(K14:K22)</f>
        <v>0</v>
      </c>
      <c r="L13" s="75">
        <f>D13+H13-J13</f>
        <v>0</v>
      </c>
      <c r="M13" s="76">
        <f>SUM(M14:M22)</f>
        <v>11438.2</v>
      </c>
      <c r="N13" s="43"/>
      <c r="O13" s="42"/>
      <c r="P13" s="42"/>
      <c r="Q13" s="65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</row>
    <row r="14" spans="1:213" x14ac:dyDescent="0.2">
      <c r="A14" s="77" t="s">
        <v>116</v>
      </c>
      <c r="B14" s="78" t="s">
        <v>117</v>
      </c>
      <c r="C14" s="79" t="s">
        <v>5</v>
      </c>
      <c r="D14" s="80">
        <v>849.73</v>
      </c>
      <c r="E14" s="81">
        <v>2.5</v>
      </c>
      <c r="F14" s="81">
        <v>3.07</v>
      </c>
      <c r="G14" s="82">
        <f>TRUNC(D14*F14,2)</f>
        <v>2608.67</v>
      </c>
      <c r="H14" s="97"/>
      <c r="I14" s="37">
        <f>TRUNC(F14*H14,2)</f>
        <v>0</v>
      </c>
      <c r="J14" s="80"/>
      <c r="K14" s="37">
        <f>TRUNC(F14*J14,2)</f>
        <v>0</v>
      </c>
      <c r="L14" s="66">
        <f t="shared" ref="L14:L50" si="0">D14+H14-J14</f>
        <v>849.73</v>
      </c>
      <c r="M14" s="67">
        <f>TRUNC(L14*$F14,2)</f>
        <v>2608.67</v>
      </c>
      <c r="N14" s="42"/>
      <c r="O14" s="42"/>
      <c r="P14" s="42"/>
      <c r="Q14" s="65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</row>
    <row r="15" spans="1:213" x14ac:dyDescent="0.2">
      <c r="A15" s="77" t="s">
        <v>118</v>
      </c>
      <c r="B15" s="78" t="s">
        <v>119</v>
      </c>
      <c r="C15" s="79" t="s">
        <v>5</v>
      </c>
      <c r="D15" s="80">
        <v>6</v>
      </c>
      <c r="E15" s="81">
        <v>219.82</v>
      </c>
      <c r="F15" s="81">
        <v>270.48</v>
      </c>
      <c r="G15" s="82">
        <f t="shared" ref="G15:G78" si="1">TRUNC(D15*F15,2)</f>
        <v>1622.88</v>
      </c>
      <c r="H15" s="97"/>
      <c r="I15" s="37">
        <f t="shared" ref="I15:I22" si="2">TRUNC(F15*H15,2)</f>
        <v>0</v>
      </c>
      <c r="J15" s="80"/>
      <c r="K15" s="37">
        <f t="shared" ref="K15:K22" si="3">TRUNC(F15*J15,2)</f>
        <v>0</v>
      </c>
      <c r="L15" s="66">
        <f t="shared" si="0"/>
        <v>6</v>
      </c>
      <c r="M15" s="67">
        <f t="shared" ref="M15:M22" si="4">TRUNC(L15*$F15,2)</f>
        <v>1622.88</v>
      </c>
      <c r="N15" s="42"/>
      <c r="O15" s="42"/>
      <c r="P15" s="42"/>
      <c r="Q15" s="65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</row>
    <row r="16" spans="1:213" x14ac:dyDescent="0.2">
      <c r="A16" s="77" t="s">
        <v>120</v>
      </c>
      <c r="B16" s="78" t="s">
        <v>121</v>
      </c>
      <c r="C16" s="79" t="s">
        <v>6</v>
      </c>
      <c r="D16" s="80">
        <v>3</v>
      </c>
      <c r="E16" s="81">
        <v>110.05</v>
      </c>
      <c r="F16" s="81">
        <v>135.41</v>
      </c>
      <c r="G16" s="82">
        <f t="shared" si="1"/>
        <v>406.23</v>
      </c>
      <c r="H16" s="97"/>
      <c r="I16" s="37">
        <f t="shared" si="2"/>
        <v>0</v>
      </c>
      <c r="J16" s="80"/>
      <c r="K16" s="37">
        <f t="shared" si="3"/>
        <v>0</v>
      </c>
      <c r="L16" s="66">
        <f t="shared" si="0"/>
        <v>3</v>
      </c>
      <c r="M16" s="67">
        <f t="shared" si="4"/>
        <v>406.23</v>
      </c>
      <c r="N16" s="42"/>
      <c r="O16" s="42"/>
      <c r="P16" s="42"/>
      <c r="Q16" s="65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</row>
    <row r="17" spans="1:213" ht="24" x14ac:dyDescent="0.2">
      <c r="A17" s="77" t="s">
        <v>122</v>
      </c>
      <c r="B17" s="78" t="s">
        <v>123</v>
      </c>
      <c r="C17" s="79" t="s">
        <v>7</v>
      </c>
      <c r="D17" s="80">
        <v>30</v>
      </c>
      <c r="E17" s="81">
        <v>2.33</v>
      </c>
      <c r="F17" s="81">
        <v>2.86</v>
      </c>
      <c r="G17" s="82">
        <f t="shared" si="1"/>
        <v>85.8</v>
      </c>
      <c r="H17" s="97"/>
      <c r="I17" s="37">
        <f t="shared" si="2"/>
        <v>0</v>
      </c>
      <c r="J17" s="80"/>
      <c r="K17" s="37">
        <f t="shared" si="3"/>
        <v>0</v>
      </c>
      <c r="L17" s="66">
        <f t="shared" si="0"/>
        <v>30</v>
      </c>
      <c r="M17" s="67">
        <f t="shared" si="4"/>
        <v>85.8</v>
      </c>
      <c r="N17" s="42"/>
      <c r="O17" s="42"/>
      <c r="P17" s="42"/>
      <c r="Q17" s="65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</row>
    <row r="18" spans="1:213" ht="24" x14ac:dyDescent="0.2">
      <c r="A18" s="77" t="s">
        <v>124</v>
      </c>
      <c r="B18" s="78" t="s">
        <v>125</v>
      </c>
      <c r="C18" s="79" t="s">
        <v>7</v>
      </c>
      <c r="D18" s="80">
        <v>30</v>
      </c>
      <c r="E18" s="81">
        <v>2.33</v>
      </c>
      <c r="F18" s="81">
        <v>2.86</v>
      </c>
      <c r="G18" s="82">
        <f t="shared" si="1"/>
        <v>85.8</v>
      </c>
      <c r="H18" s="97"/>
      <c r="I18" s="37">
        <f t="shared" si="2"/>
        <v>0</v>
      </c>
      <c r="J18" s="80"/>
      <c r="K18" s="37">
        <f t="shared" si="3"/>
        <v>0</v>
      </c>
      <c r="L18" s="66">
        <f t="shared" si="0"/>
        <v>30</v>
      </c>
      <c r="M18" s="67">
        <f t="shared" si="4"/>
        <v>85.8</v>
      </c>
      <c r="N18" s="42"/>
      <c r="O18" s="42"/>
      <c r="P18" s="42"/>
      <c r="Q18" s="65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</row>
    <row r="19" spans="1:213" ht="48" x14ac:dyDescent="0.2">
      <c r="A19" s="77" t="s">
        <v>126</v>
      </c>
      <c r="B19" s="78" t="s">
        <v>127</v>
      </c>
      <c r="C19" s="79" t="s">
        <v>47</v>
      </c>
      <c r="D19" s="80">
        <v>3</v>
      </c>
      <c r="E19" s="81">
        <v>565.55999999999995</v>
      </c>
      <c r="F19" s="81">
        <v>695.92</v>
      </c>
      <c r="G19" s="82">
        <f t="shared" si="1"/>
        <v>2087.7600000000002</v>
      </c>
      <c r="H19" s="97"/>
      <c r="I19" s="37">
        <f t="shared" si="2"/>
        <v>0</v>
      </c>
      <c r="J19" s="80"/>
      <c r="K19" s="37">
        <f t="shared" si="3"/>
        <v>0</v>
      </c>
      <c r="L19" s="66">
        <f t="shared" si="0"/>
        <v>3</v>
      </c>
      <c r="M19" s="67">
        <f t="shared" si="4"/>
        <v>2087.7600000000002</v>
      </c>
      <c r="N19" s="42"/>
      <c r="O19" s="42"/>
      <c r="P19" s="42"/>
      <c r="Q19" s="65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</row>
    <row r="20" spans="1:213" ht="24" x14ac:dyDescent="0.2">
      <c r="A20" s="77" t="s">
        <v>128</v>
      </c>
      <c r="B20" s="78" t="s">
        <v>129</v>
      </c>
      <c r="C20" s="79" t="s">
        <v>61</v>
      </c>
      <c r="D20" s="80">
        <v>96.89</v>
      </c>
      <c r="E20" s="81">
        <v>7.18</v>
      </c>
      <c r="F20" s="81">
        <v>8.83</v>
      </c>
      <c r="G20" s="82">
        <f t="shared" si="1"/>
        <v>855.53</v>
      </c>
      <c r="H20" s="97"/>
      <c r="I20" s="37">
        <f t="shared" si="2"/>
        <v>0</v>
      </c>
      <c r="J20" s="80"/>
      <c r="K20" s="37">
        <f t="shared" si="3"/>
        <v>0</v>
      </c>
      <c r="L20" s="66">
        <f t="shared" si="0"/>
        <v>96.89</v>
      </c>
      <c r="M20" s="67">
        <f t="shared" si="4"/>
        <v>855.53</v>
      </c>
      <c r="N20" s="42"/>
      <c r="O20" s="42"/>
      <c r="P20" s="42"/>
      <c r="Q20" s="65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</row>
    <row r="21" spans="1:213" x14ac:dyDescent="0.2">
      <c r="A21" s="77" t="s">
        <v>130</v>
      </c>
      <c r="B21" s="78" t="s">
        <v>131</v>
      </c>
      <c r="C21" s="79" t="s">
        <v>18</v>
      </c>
      <c r="D21" s="80">
        <v>96.89</v>
      </c>
      <c r="E21" s="81">
        <v>28.06</v>
      </c>
      <c r="F21" s="81">
        <v>34.520000000000003</v>
      </c>
      <c r="G21" s="82">
        <f t="shared" si="1"/>
        <v>3344.64</v>
      </c>
      <c r="H21" s="97"/>
      <c r="I21" s="37">
        <f t="shared" si="2"/>
        <v>0</v>
      </c>
      <c r="J21" s="80"/>
      <c r="K21" s="37">
        <f t="shared" si="3"/>
        <v>0</v>
      </c>
      <c r="L21" s="66">
        <f t="shared" si="0"/>
        <v>96.89</v>
      </c>
      <c r="M21" s="67">
        <f t="shared" si="4"/>
        <v>3344.64</v>
      </c>
      <c r="N21" s="42"/>
      <c r="O21" s="42"/>
      <c r="P21" s="42"/>
      <c r="Q21" s="65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</row>
    <row r="22" spans="1:213" x14ac:dyDescent="0.2">
      <c r="A22" s="77" t="s">
        <v>132</v>
      </c>
      <c r="B22" s="78" t="s">
        <v>133</v>
      </c>
      <c r="C22" s="79" t="s">
        <v>79</v>
      </c>
      <c r="D22" s="80">
        <v>1</v>
      </c>
      <c r="E22" s="81">
        <v>277.04000000000002</v>
      </c>
      <c r="F22" s="81">
        <v>340.89</v>
      </c>
      <c r="G22" s="82">
        <f t="shared" si="1"/>
        <v>340.89</v>
      </c>
      <c r="H22" s="97"/>
      <c r="I22" s="37">
        <f t="shared" si="2"/>
        <v>0</v>
      </c>
      <c r="J22" s="80"/>
      <c r="K22" s="37">
        <f t="shared" si="3"/>
        <v>0</v>
      </c>
      <c r="L22" s="66">
        <f t="shared" si="0"/>
        <v>1</v>
      </c>
      <c r="M22" s="67">
        <f t="shared" si="4"/>
        <v>340.89</v>
      </c>
      <c r="N22" s="42"/>
      <c r="O22" s="42"/>
      <c r="P22" s="42"/>
      <c r="Q22" s="65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</row>
    <row r="23" spans="1:213" x14ac:dyDescent="0.2">
      <c r="A23" s="210" t="s">
        <v>8</v>
      </c>
      <c r="B23" s="71" t="s">
        <v>134</v>
      </c>
      <c r="C23" s="72"/>
      <c r="D23" s="84"/>
      <c r="E23" s="72"/>
      <c r="F23" s="72"/>
      <c r="G23" s="74">
        <f>G24+G36+G48+G51+G56+G61+G64+G77+G80</f>
        <v>302561.80000000005</v>
      </c>
      <c r="H23" s="96"/>
      <c r="I23" s="49">
        <f>I24+I36+I48+I51+I56+I61+I64+I77+I80</f>
        <v>38291.770000000004</v>
      </c>
      <c r="J23" s="73"/>
      <c r="K23" s="49">
        <f>K24+K36+K48+K51+K56+K61+K64+K77+K80</f>
        <v>0</v>
      </c>
      <c r="L23" s="75">
        <f t="shared" si="0"/>
        <v>0</v>
      </c>
      <c r="M23" s="76">
        <f>M24+M36+M48+M51+M56+M61+M64+M77+M80</f>
        <v>340853.6100000001</v>
      </c>
      <c r="N23" s="42"/>
      <c r="O23" s="42"/>
      <c r="P23" s="42"/>
      <c r="Q23" s="65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</row>
    <row r="24" spans="1:213" x14ac:dyDescent="0.2">
      <c r="A24" s="210" t="s">
        <v>9</v>
      </c>
      <c r="B24" s="71" t="s">
        <v>135</v>
      </c>
      <c r="C24" s="72"/>
      <c r="D24" s="84"/>
      <c r="E24" s="72"/>
      <c r="F24" s="72"/>
      <c r="G24" s="74">
        <f>SUM(G25:G35)</f>
        <v>28970.240000000005</v>
      </c>
      <c r="H24" s="96"/>
      <c r="I24" s="49">
        <f>SUM(I25:I35)</f>
        <v>0</v>
      </c>
      <c r="J24" s="73"/>
      <c r="K24" s="49">
        <f>SUM(K25:K35)</f>
        <v>0</v>
      </c>
      <c r="L24" s="75">
        <f t="shared" si="0"/>
        <v>0</v>
      </c>
      <c r="M24" s="76">
        <f>SUM(M25:M35)</f>
        <v>28970.240000000005</v>
      </c>
      <c r="N24" s="42"/>
      <c r="O24" s="42"/>
      <c r="P24" s="42"/>
      <c r="Q24" s="65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</row>
    <row r="25" spans="1:213" ht="24" x14ac:dyDescent="0.2">
      <c r="A25" s="77" t="s">
        <v>136</v>
      </c>
      <c r="B25" s="78" t="s">
        <v>137</v>
      </c>
      <c r="C25" s="79" t="s">
        <v>10</v>
      </c>
      <c r="D25" s="80">
        <v>24.22</v>
      </c>
      <c r="E25" s="81">
        <v>63.84</v>
      </c>
      <c r="F25" s="81">
        <v>78.55</v>
      </c>
      <c r="G25" s="82">
        <f t="shared" si="1"/>
        <v>1902.48</v>
      </c>
      <c r="H25" s="97"/>
      <c r="I25" s="37">
        <f t="shared" ref="I25:I88" si="5">TRUNC(F25*H25,2)</f>
        <v>0</v>
      </c>
      <c r="J25" s="80"/>
      <c r="K25" s="37">
        <f t="shared" ref="K25:K88" si="6">TRUNC(F25*J25,2)</f>
        <v>0</v>
      </c>
      <c r="L25" s="66">
        <f t="shared" si="0"/>
        <v>24.22</v>
      </c>
      <c r="M25" s="67">
        <f t="shared" ref="M25:M35" si="7">TRUNC(L25*$F25,2)</f>
        <v>1902.48</v>
      </c>
      <c r="N25" s="42"/>
      <c r="O25" s="42"/>
      <c r="P25" s="42"/>
      <c r="Q25" s="65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</row>
    <row r="26" spans="1:213" s="7" customFormat="1" ht="24" x14ac:dyDescent="0.2">
      <c r="A26" s="77" t="s">
        <v>138</v>
      </c>
      <c r="B26" s="78" t="s">
        <v>139</v>
      </c>
      <c r="C26" s="79" t="s">
        <v>5</v>
      </c>
      <c r="D26" s="80">
        <v>52.2</v>
      </c>
      <c r="E26" s="81">
        <v>12.66</v>
      </c>
      <c r="F26" s="81">
        <v>15.57</v>
      </c>
      <c r="G26" s="82">
        <f t="shared" si="1"/>
        <v>812.75</v>
      </c>
      <c r="H26" s="97"/>
      <c r="I26" s="37">
        <f t="shared" si="5"/>
        <v>0</v>
      </c>
      <c r="J26" s="80"/>
      <c r="K26" s="37">
        <f t="shared" si="6"/>
        <v>0</v>
      </c>
      <c r="L26" s="66">
        <f t="shared" si="0"/>
        <v>52.2</v>
      </c>
      <c r="M26" s="67">
        <f t="shared" si="7"/>
        <v>812.75</v>
      </c>
      <c r="N26" s="44"/>
      <c r="O26" s="44"/>
      <c r="P26" s="44"/>
      <c r="Q26" s="65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</row>
    <row r="27" spans="1:213" s="38" customFormat="1" ht="24" x14ac:dyDescent="0.2">
      <c r="A27" s="77" t="s">
        <v>140</v>
      </c>
      <c r="B27" s="78" t="s">
        <v>141</v>
      </c>
      <c r="C27" s="79" t="s">
        <v>10</v>
      </c>
      <c r="D27" s="80">
        <v>24.22</v>
      </c>
      <c r="E27" s="81">
        <v>442.09</v>
      </c>
      <c r="F27" s="81">
        <v>543.99</v>
      </c>
      <c r="G27" s="82">
        <f t="shared" si="1"/>
        <v>13175.43</v>
      </c>
      <c r="H27" s="97"/>
      <c r="I27" s="37">
        <f t="shared" si="5"/>
        <v>0</v>
      </c>
      <c r="J27" s="80"/>
      <c r="K27" s="37">
        <f t="shared" si="6"/>
        <v>0</v>
      </c>
      <c r="L27" s="66">
        <f t="shared" si="0"/>
        <v>24.22</v>
      </c>
      <c r="M27" s="67">
        <f t="shared" si="7"/>
        <v>13175.43</v>
      </c>
      <c r="N27" s="42"/>
      <c r="O27" s="42"/>
      <c r="P27" s="42"/>
      <c r="Q27" s="65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</row>
    <row r="28" spans="1:213" ht="36" x14ac:dyDescent="0.2">
      <c r="A28" s="77" t="s">
        <v>142</v>
      </c>
      <c r="B28" s="78" t="s">
        <v>15</v>
      </c>
      <c r="C28" s="79" t="s">
        <v>5</v>
      </c>
      <c r="D28" s="80">
        <v>77.510000000000005</v>
      </c>
      <c r="E28" s="81">
        <v>64.650000000000006</v>
      </c>
      <c r="F28" s="81">
        <v>79.55</v>
      </c>
      <c r="G28" s="82">
        <f t="shared" si="1"/>
        <v>6165.92</v>
      </c>
      <c r="H28" s="97"/>
      <c r="I28" s="37">
        <f t="shared" si="5"/>
        <v>0</v>
      </c>
      <c r="J28" s="83"/>
      <c r="K28" s="37">
        <f t="shared" si="6"/>
        <v>0</v>
      </c>
      <c r="L28" s="66">
        <f t="shared" si="0"/>
        <v>77.510000000000005</v>
      </c>
      <c r="M28" s="67">
        <f t="shared" si="7"/>
        <v>6165.92</v>
      </c>
      <c r="N28" s="43"/>
      <c r="O28" s="42"/>
      <c r="P28" s="42"/>
      <c r="Q28" s="65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</row>
    <row r="29" spans="1:213" ht="24" x14ac:dyDescent="0.2">
      <c r="A29" s="77" t="s">
        <v>143</v>
      </c>
      <c r="B29" s="78" t="s">
        <v>144</v>
      </c>
      <c r="C29" s="79" t="s">
        <v>10</v>
      </c>
      <c r="D29" s="80">
        <v>1.88</v>
      </c>
      <c r="E29" s="81">
        <v>278.79000000000002</v>
      </c>
      <c r="F29" s="81">
        <v>343.05</v>
      </c>
      <c r="G29" s="82">
        <f t="shared" si="1"/>
        <v>644.92999999999995</v>
      </c>
      <c r="H29" s="97"/>
      <c r="I29" s="37">
        <f t="shared" si="5"/>
        <v>0</v>
      </c>
      <c r="J29" s="83"/>
      <c r="K29" s="37">
        <f t="shared" si="6"/>
        <v>0</v>
      </c>
      <c r="L29" s="66">
        <f t="shared" si="0"/>
        <v>1.88</v>
      </c>
      <c r="M29" s="67">
        <f t="shared" si="7"/>
        <v>644.92999999999995</v>
      </c>
      <c r="N29" s="43"/>
      <c r="O29" s="42"/>
      <c r="P29" s="42"/>
      <c r="Q29" s="65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</row>
    <row r="30" spans="1:213" ht="24.95" customHeight="1" x14ac:dyDescent="0.2">
      <c r="A30" s="77" t="s">
        <v>145</v>
      </c>
      <c r="B30" s="78" t="s">
        <v>43</v>
      </c>
      <c r="C30" s="79" t="s">
        <v>10</v>
      </c>
      <c r="D30" s="80">
        <v>1.88</v>
      </c>
      <c r="E30" s="81">
        <v>168.37</v>
      </c>
      <c r="F30" s="81">
        <v>207.17</v>
      </c>
      <c r="G30" s="82">
        <f t="shared" si="1"/>
        <v>389.47</v>
      </c>
      <c r="H30" s="97"/>
      <c r="I30" s="37">
        <f t="shared" si="5"/>
        <v>0</v>
      </c>
      <c r="J30" s="83"/>
      <c r="K30" s="37">
        <f t="shared" si="6"/>
        <v>0</v>
      </c>
      <c r="L30" s="66">
        <f t="shared" si="0"/>
        <v>1.88</v>
      </c>
      <c r="M30" s="67">
        <f t="shared" si="7"/>
        <v>389.47</v>
      </c>
      <c r="N30" s="42"/>
      <c r="O30" s="42"/>
      <c r="P30" s="42"/>
      <c r="Q30" s="65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</row>
    <row r="31" spans="1:213" ht="36" x14ac:dyDescent="0.2">
      <c r="A31" s="77" t="s">
        <v>146</v>
      </c>
      <c r="B31" s="78" t="s">
        <v>147</v>
      </c>
      <c r="C31" s="79" t="s">
        <v>5</v>
      </c>
      <c r="D31" s="80">
        <v>15</v>
      </c>
      <c r="E31" s="81">
        <v>110.04</v>
      </c>
      <c r="F31" s="81">
        <v>135.4</v>
      </c>
      <c r="G31" s="82">
        <f t="shared" si="1"/>
        <v>2031</v>
      </c>
      <c r="H31" s="97"/>
      <c r="I31" s="37">
        <f t="shared" si="5"/>
        <v>0</v>
      </c>
      <c r="J31" s="83"/>
      <c r="K31" s="37">
        <f t="shared" si="6"/>
        <v>0</v>
      </c>
      <c r="L31" s="66">
        <f t="shared" si="0"/>
        <v>15</v>
      </c>
      <c r="M31" s="67">
        <f t="shared" si="7"/>
        <v>2031</v>
      </c>
      <c r="N31" s="42"/>
      <c r="O31" s="42"/>
      <c r="P31" s="42"/>
      <c r="Q31" s="65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</row>
    <row r="32" spans="1:213" s="39" customFormat="1" x14ac:dyDescent="0.2">
      <c r="A32" s="77" t="s">
        <v>148</v>
      </c>
      <c r="B32" s="78" t="s">
        <v>149</v>
      </c>
      <c r="C32" s="79" t="s">
        <v>10</v>
      </c>
      <c r="D32" s="80">
        <v>24.22</v>
      </c>
      <c r="E32" s="81">
        <v>38.71</v>
      </c>
      <c r="F32" s="81">
        <v>47.63</v>
      </c>
      <c r="G32" s="82">
        <f t="shared" si="1"/>
        <v>1153.5899999999999</v>
      </c>
      <c r="H32" s="97"/>
      <c r="I32" s="37">
        <f t="shared" si="5"/>
        <v>0</v>
      </c>
      <c r="J32" s="83"/>
      <c r="K32" s="37">
        <f t="shared" si="6"/>
        <v>0</v>
      </c>
      <c r="L32" s="66">
        <f t="shared" si="0"/>
        <v>24.22</v>
      </c>
      <c r="M32" s="67">
        <f t="shared" si="7"/>
        <v>1153.5899999999999</v>
      </c>
      <c r="N32" s="44"/>
      <c r="O32" s="44"/>
      <c r="P32" s="44"/>
      <c r="Q32" s="65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</row>
    <row r="33" spans="1:213" s="38" customFormat="1" ht="24" x14ac:dyDescent="0.2">
      <c r="A33" s="77" t="s">
        <v>150</v>
      </c>
      <c r="B33" s="78" t="s">
        <v>42</v>
      </c>
      <c r="C33" s="79" t="s">
        <v>16</v>
      </c>
      <c r="D33" s="80">
        <v>31.96</v>
      </c>
      <c r="E33" s="81">
        <v>14.57</v>
      </c>
      <c r="F33" s="81">
        <v>17.920000000000002</v>
      </c>
      <c r="G33" s="82">
        <f t="shared" si="1"/>
        <v>572.72</v>
      </c>
      <c r="H33" s="97"/>
      <c r="I33" s="37">
        <f t="shared" si="5"/>
        <v>0</v>
      </c>
      <c r="J33" s="83"/>
      <c r="K33" s="37">
        <f t="shared" si="6"/>
        <v>0</v>
      </c>
      <c r="L33" s="66">
        <f t="shared" si="0"/>
        <v>31.96</v>
      </c>
      <c r="M33" s="67">
        <f t="shared" si="7"/>
        <v>572.72</v>
      </c>
      <c r="N33" s="42"/>
      <c r="O33" s="42"/>
      <c r="P33" s="42"/>
      <c r="Q33" s="65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</row>
    <row r="34" spans="1:213" ht="24" x14ac:dyDescent="0.2">
      <c r="A34" s="77" t="s">
        <v>151</v>
      </c>
      <c r="B34" s="78" t="s">
        <v>40</v>
      </c>
      <c r="C34" s="79" t="s">
        <v>16</v>
      </c>
      <c r="D34" s="80">
        <v>57.36</v>
      </c>
      <c r="E34" s="81">
        <v>13.06</v>
      </c>
      <c r="F34" s="81">
        <v>16.07</v>
      </c>
      <c r="G34" s="82">
        <f t="shared" si="1"/>
        <v>921.77</v>
      </c>
      <c r="H34" s="97"/>
      <c r="I34" s="37">
        <f t="shared" si="5"/>
        <v>0</v>
      </c>
      <c r="J34" s="80"/>
      <c r="K34" s="37">
        <f t="shared" si="6"/>
        <v>0</v>
      </c>
      <c r="L34" s="66">
        <f t="shared" si="0"/>
        <v>57.36</v>
      </c>
      <c r="M34" s="67">
        <f t="shared" si="7"/>
        <v>921.77</v>
      </c>
      <c r="N34" s="43"/>
      <c r="O34" s="42"/>
      <c r="P34" s="42"/>
      <c r="Q34" s="65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</row>
    <row r="35" spans="1:213" ht="24.95" customHeight="1" x14ac:dyDescent="0.2">
      <c r="A35" s="77" t="s">
        <v>152</v>
      </c>
      <c r="B35" s="78" t="s">
        <v>41</v>
      </c>
      <c r="C35" s="79" t="s">
        <v>16</v>
      </c>
      <c r="D35" s="80">
        <v>94.28</v>
      </c>
      <c r="E35" s="81">
        <v>10.35</v>
      </c>
      <c r="F35" s="81">
        <v>12.73</v>
      </c>
      <c r="G35" s="82">
        <f t="shared" si="1"/>
        <v>1200.18</v>
      </c>
      <c r="H35" s="97"/>
      <c r="I35" s="37">
        <f t="shared" si="5"/>
        <v>0</v>
      </c>
      <c r="J35" s="80"/>
      <c r="K35" s="37">
        <f t="shared" si="6"/>
        <v>0</v>
      </c>
      <c r="L35" s="66">
        <f t="shared" si="0"/>
        <v>94.28</v>
      </c>
      <c r="M35" s="67">
        <f t="shared" si="7"/>
        <v>1200.18</v>
      </c>
      <c r="N35" s="42"/>
      <c r="O35" s="42"/>
      <c r="P35" s="42"/>
      <c r="Q35" s="65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</row>
    <row r="36" spans="1:213" x14ac:dyDescent="0.2">
      <c r="A36" s="210" t="s">
        <v>11</v>
      </c>
      <c r="B36" s="71" t="s">
        <v>153</v>
      </c>
      <c r="C36" s="72"/>
      <c r="D36" s="84"/>
      <c r="E36" s="72"/>
      <c r="F36" s="72"/>
      <c r="G36" s="74">
        <f>SUM(G37:G47)</f>
        <v>17479.199999999997</v>
      </c>
      <c r="H36" s="96"/>
      <c r="I36" s="49">
        <f>SUM(I37:I47)</f>
        <v>5488.0099999999993</v>
      </c>
      <c r="J36" s="73"/>
      <c r="K36" s="49">
        <f>SUM(K37:K47)</f>
        <v>0</v>
      </c>
      <c r="L36" s="75">
        <f t="shared" ref="L36:L48" si="8">D36+H36-J36</f>
        <v>0</v>
      </c>
      <c r="M36" s="76">
        <f>SUM(M37:M47)</f>
        <v>22967.239999999998</v>
      </c>
      <c r="N36" s="42"/>
      <c r="O36" s="42"/>
      <c r="P36" s="65"/>
      <c r="Q36" s="65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</row>
    <row r="37" spans="1:213" ht="36" x14ac:dyDescent="0.2">
      <c r="A37" s="77" t="s">
        <v>154</v>
      </c>
      <c r="B37" s="78" t="s">
        <v>155</v>
      </c>
      <c r="C37" s="79" t="s">
        <v>10</v>
      </c>
      <c r="D37" s="80">
        <v>1.43</v>
      </c>
      <c r="E37" s="81">
        <v>291.99</v>
      </c>
      <c r="F37" s="81">
        <v>359.29</v>
      </c>
      <c r="G37" s="82">
        <f t="shared" si="1"/>
        <v>513.78</v>
      </c>
      <c r="H37" s="233"/>
      <c r="I37" s="37">
        <f t="shared" si="5"/>
        <v>0</v>
      </c>
      <c r="J37" s="240"/>
      <c r="K37" s="242">
        <f t="shared" si="6"/>
        <v>0</v>
      </c>
      <c r="L37" s="66">
        <f t="shared" si="0"/>
        <v>1.43</v>
      </c>
      <c r="M37" s="67">
        <f t="shared" ref="M37:M47" si="9">TRUNC(L37*$F37,2)</f>
        <v>513.78</v>
      </c>
      <c r="N37" s="42"/>
      <c r="O37" s="42"/>
      <c r="P37" s="42"/>
      <c r="Q37" s="65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</row>
    <row r="38" spans="1:213" ht="27.75" customHeight="1" x14ac:dyDescent="0.2">
      <c r="A38" s="77" t="s">
        <v>156</v>
      </c>
      <c r="B38" s="78" t="s">
        <v>43</v>
      </c>
      <c r="C38" s="79" t="s">
        <v>10</v>
      </c>
      <c r="D38" s="80">
        <v>1.43</v>
      </c>
      <c r="E38" s="81">
        <v>168.37</v>
      </c>
      <c r="F38" s="81">
        <v>207.17</v>
      </c>
      <c r="G38" s="82">
        <f t="shared" si="1"/>
        <v>296.25</v>
      </c>
      <c r="H38" s="233"/>
      <c r="I38" s="37">
        <f t="shared" si="5"/>
        <v>0</v>
      </c>
      <c r="J38" s="240"/>
      <c r="K38" s="242">
        <f t="shared" si="6"/>
        <v>0</v>
      </c>
      <c r="L38" s="66">
        <f t="shared" si="0"/>
        <v>1.43</v>
      </c>
      <c r="M38" s="67">
        <f t="shared" si="9"/>
        <v>296.25</v>
      </c>
      <c r="N38" s="42"/>
      <c r="O38" s="42"/>
      <c r="P38" s="42"/>
      <c r="Q38" s="65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</row>
    <row r="39" spans="1:213" ht="24" x14ac:dyDescent="0.2">
      <c r="A39" s="77" t="s">
        <v>157</v>
      </c>
      <c r="B39" s="78" t="s">
        <v>158</v>
      </c>
      <c r="C39" s="79" t="s">
        <v>5</v>
      </c>
      <c r="D39" s="80">
        <v>32.44</v>
      </c>
      <c r="E39" s="81">
        <v>56.63</v>
      </c>
      <c r="F39" s="81">
        <v>69.680000000000007</v>
      </c>
      <c r="G39" s="82">
        <f t="shared" si="1"/>
        <v>2260.41</v>
      </c>
      <c r="H39" s="233">
        <v>28.54</v>
      </c>
      <c r="I39" s="37">
        <f t="shared" si="5"/>
        <v>1988.66</v>
      </c>
      <c r="J39" s="240"/>
      <c r="K39" s="242">
        <f t="shared" si="6"/>
        <v>0</v>
      </c>
      <c r="L39" s="66">
        <f t="shared" si="0"/>
        <v>60.98</v>
      </c>
      <c r="M39" s="67">
        <f t="shared" si="9"/>
        <v>4249.08</v>
      </c>
      <c r="N39" s="42"/>
      <c r="O39" s="42"/>
      <c r="P39" s="42"/>
      <c r="Q39" s="65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</row>
    <row r="40" spans="1:213" s="38" customFormat="1" ht="24" x14ac:dyDescent="0.2">
      <c r="A40" s="77" t="s">
        <v>159</v>
      </c>
      <c r="B40" s="78" t="s">
        <v>40</v>
      </c>
      <c r="C40" s="79" t="s">
        <v>16</v>
      </c>
      <c r="D40" s="80">
        <v>67.180000000000007</v>
      </c>
      <c r="E40" s="81">
        <v>13.06</v>
      </c>
      <c r="F40" s="81">
        <v>16.07</v>
      </c>
      <c r="G40" s="82">
        <f t="shared" si="1"/>
        <v>1079.58</v>
      </c>
      <c r="H40" s="233"/>
      <c r="I40" s="37">
        <f t="shared" si="5"/>
        <v>0</v>
      </c>
      <c r="J40" s="240"/>
      <c r="K40" s="242">
        <f t="shared" si="6"/>
        <v>0</v>
      </c>
      <c r="L40" s="66">
        <f t="shared" si="0"/>
        <v>67.180000000000007</v>
      </c>
      <c r="M40" s="67">
        <f t="shared" si="9"/>
        <v>1079.58</v>
      </c>
      <c r="N40" s="42"/>
      <c r="O40" s="42"/>
      <c r="P40" s="42"/>
      <c r="Q40" s="65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</row>
    <row r="41" spans="1:213" ht="24" x14ac:dyDescent="0.2">
      <c r="A41" s="77" t="s">
        <v>160</v>
      </c>
      <c r="B41" s="78" t="s">
        <v>41</v>
      </c>
      <c r="C41" s="79" t="s">
        <v>16</v>
      </c>
      <c r="D41" s="80">
        <v>155.82</v>
      </c>
      <c r="E41" s="81">
        <v>10.35</v>
      </c>
      <c r="F41" s="81">
        <v>12.73</v>
      </c>
      <c r="G41" s="82">
        <f t="shared" si="1"/>
        <v>1983.58</v>
      </c>
      <c r="H41" s="233"/>
      <c r="I41" s="37">
        <f t="shared" si="5"/>
        <v>0</v>
      </c>
      <c r="J41" s="241"/>
      <c r="K41" s="242">
        <f t="shared" si="6"/>
        <v>0</v>
      </c>
      <c r="L41" s="66">
        <f t="shared" si="0"/>
        <v>155.82</v>
      </c>
      <c r="M41" s="67">
        <f t="shared" si="9"/>
        <v>1983.58</v>
      </c>
      <c r="N41" s="42"/>
      <c r="O41" s="42"/>
      <c r="P41" s="42"/>
      <c r="Q41" s="65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</row>
    <row r="42" spans="1:213" ht="24.95" customHeight="1" x14ac:dyDescent="0.2">
      <c r="A42" s="77" t="s">
        <v>161</v>
      </c>
      <c r="B42" s="78" t="s">
        <v>155</v>
      </c>
      <c r="C42" s="79" t="s">
        <v>10</v>
      </c>
      <c r="D42" s="80">
        <v>1.19</v>
      </c>
      <c r="E42" s="81">
        <v>291.99</v>
      </c>
      <c r="F42" s="81">
        <v>359.29</v>
      </c>
      <c r="G42" s="82">
        <f t="shared" si="1"/>
        <v>427.55</v>
      </c>
      <c r="H42" s="97">
        <v>3.62</v>
      </c>
      <c r="I42" s="37">
        <f t="shared" si="5"/>
        <v>1300.6199999999999</v>
      </c>
      <c r="J42" s="241"/>
      <c r="K42" s="242">
        <f t="shared" si="6"/>
        <v>0</v>
      </c>
      <c r="L42" s="66">
        <f t="shared" si="0"/>
        <v>4.8100000000000005</v>
      </c>
      <c r="M42" s="67">
        <f t="shared" si="9"/>
        <v>1728.18</v>
      </c>
      <c r="N42" s="42"/>
      <c r="O42" s="42"/>
      <c r="P42" s="42"/>
      <c r="Q42" s="65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</row>
    <row r="43" spans="1:213" ht="24" x14ac:dyDescent="0.2">
      <c r="A43" s="77" t="s">
        <v>162</v>
      </c>
      <c r="B43" s="78" t="s">
        <v>43</v>
      </c>
      <c r="C43" s="79" t="s">
        <v>10</v>
      </c>
      <c r="D43" s="80">
        <v>1.19</v>
      </c>
      <c r="E43" s="81">
        <v>168.37</v>
      </c>
      <c r="F43" s="81">
        <v>207.17</v>
      </c>
      <c r="G43" s="82">
        <f t="shared" si="1"/>
        <v>246.53</v>
      </c>
      <c r="H43" s="97">
        <v>3.62</v>
      </c>
      <c r="I43" s="37">
        <f t="shared" si="5"/>
        <v>749.95</v>
      </c>
      <c r="J43" s="241"/>
      <c r="K43" s="242">
        <f t="shared" si="6"/>
        <v>0</v>
      </c>
      <c r="L43" s="66">
        <f t="shared" si="0"/>
        <v>4.8100000000000005</v>
      </c>
      <c r="M43" s="67">
        <f t="shared" si="9"/>
        <v>996.48</v>
      </c>
      <c r="N43" s="42"/>
      <c r="O43" s="42"/>
      <c r="P43" s="42"/>
      <c r="Q43" s="65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</row>
    <row r="44" spans="1:213" ht="24" x14ac:dyDescent="0.2">
      <c r="A44" s="77" t="s">
        <v>163</v>
      </c>
      <c r="B44" s="78" t="s">
        <v>164</v>
      </c>
      <c r="C44" s="79" t="s">
        <v>5</v>
      </c>
      <c r="D44" s="80">
        <v>21.83</v>
      </c>
      <c r="E44" s="81">
        <v>204.06</v>
      </c>
      <c r="F44" s="81">
        <v>251.09</v>
      </c>
      <c r="G44" s="82">
        <f t="shared" si="1"/>
        <v>5481.29</v>
      </c>
      <c r="H44" s="233">
        <v>5.77</v>
      </c>
      <c r="I44" s="37">
        <f t="shared" si="5"/>
        <v>1448.78</v>
      </c>
      <c r="J44" s="241"/>
      <c r="K44" s="242">
        <f t="shared" si="6"/>
        <v>0</v>
      </c>
      <c r="L44" s="66">
        <f t="shared" si="0"/>
        <v>27.599999999999998</v>
      </c>
      <c r="M44" s="67">
        <f t="shared" si="9"/>
        <v>6930.08</v>
      </c>
      <c r="N44" s="42"/>
      <c r="O44" s="42"/>
      <c r="P44" s="42"/>
      <c r="Q44" s="65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</row>
    <row r="45" spans="1:213" ht="36" x14ac:dyDescent="0.2">
      <c r="A45" s="77" t="s">
        <v>165</v>
      </c>
      <c r="B45" s="78" t="s">
        <v>166</v>
      </c>
      <c r="C45" s="79" t="s">
        <v>16</v>
      </c>
      <c r="D45" s="80">
        <v>29.06</v>
      </c>
      <c r="E45" s="81">
        <v>11.18</v>
      </c>
      <c r="F45" s="81">
        <v>13.75</v>
      </c>
      <c r="G45" s="82">
        <f t="shared" si="1"/>
        <v>399.57</v>
      </c>
      <c r="H45" s="233"/>
      <c r="I45" s="37">
        <f t="shared" si="5"/>
        <v>0</v>
      </c>
      <c r="J45" s="241"/>
      <c r="K45" s="242">
        <f t="shared" si="6"/>
        <v>0</v>
      </c>
      <c r="L45" s="66">
        <f t="shared" si="0"/>
        <v>29.06</v>
      </c>
      <c r="M45" s="67">
        <f t="shared" si="9"/>
        <v>399.57</v>
      </c>
      <c r="N45" s="42"/>
      <c r="O45" s="42"/>
      <c r="P45" s="42"/>
      <c r="Q45" s="65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</row>
    <row r="46" spans="1:213" ht="36" x14ac:dyDescent="0.2">
      <c r="A46" s="77" t="s">
        <v>167</v>
      </c>
      <c r="B46" s="78" t="s">
        <v>168</v>
      </c>
      <c r="C46" s="79" t="s">
        <v>16</v>
      </c>
      <c r="D46" s="80">
        <v>33.32</v>
      </c>
      <c r="E46" s="81">
        <v>9.75</v>
      </c>
      <c r="F46" s="81">
        <v>11.99</v>
      </c>
      <c r="G46" s="82">
        <f t="shared" si="1"/>
        <v>399.5</v>
      </c>
      <c r="H46" s="233"/>
      <c r="I46" s="37">
        <f t="shared" si="5"/>
        <v>0</v>
      </c>
      <c r="J46" s="241"/>
      <c r="K46" s="242">
        <f t="shared" si="6"/>
        <v>0</v>
      </c>
      <c r="L46" s="66">
        <f t="shared" si="0"/>
        <v>33.32</v>
      </c>
      <c r="M46" s="67">
        <f t="shared" si="9"/>
        <v>399.5</v>
      </c>
      <c r="N46" s="42"/>
      <c r="O46" s="42"/>
      <c r="P46" s="42"/>
      <c r="Q46" s="65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</row>
    <row r="47" spans="1:213" s="39" customFormat="1" ht="36" x14ac:dyDescent="0.2">
      <c r="A47" s="77" t="s">
        <v>169</v>
      </c>
      <c r="B47" s="78" t="s">
        <v>15</v>
      </c>
      <c r="C47" s="79" t="s">
        <v>5</v>
      </c>
      <c r="D47" s="80">
        <v>55.2</v>
      </c>
      <c r="E47" s="81">
        <v>64.650000000000006</v>
      </c>
      <c r="F47" s="81">
        <v>79.55</v>
      </c>
      <c r="G47" s="82">
        <f t="shared" si="1"/>
        <v>4391.16</v>
      </c>
      <c r="H47" s="233"/>
      <c r="I47" s="37">
        <f t="shared" si="5"/>
        <v>0</v>
      </c>
      <c r="J47" s="241"/>
      <c r="K47" s="242">
        <f t="shared" si="6"/>
        <v>0</v>
      </c>
      <c r="L47" s="66">
        <f t="shared" si="0"/>
        <v>55.2</v>
      </c>
      <c r="M47" s="67">
        <f t="shared" si="9"/>
        <v>4391.16</v>
      </c>
      <c r="N47" s="44"/>
      <c r="O47" s="44"/>
      <c r="P47" s="44"/>
      <c r="Q47" s="65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</row>
    <row r="48" spans="1:213" x14ac:dyDescent="0.2">
      <c r="A48" s="210" t="s">
        <v>12</v>
      </c>
      <c r="B48" s="71" t="s">
        <v>170</v>
      </c>
      <c r="C48" s="72"/>
      <c r="D48" s="84"/>
      <c r="E48" s="72"/>
      <c r="F48" s="72"/>
      <c r="G48" s="74">
        <f>SUM(G49:G50)</f>
        <v>10165.540000000001</v>
      </c>
      <c r="H48" s="96"/>
      <c r="I48" s="49">
        <f>SUM(I49:I50)</f>
        <v>406.2</v>
      </c>
      <c r="J48" s="73"/>
      <c r="K48" s="49">
        <f>SUM(K49:K50)</f>
        <v>0</v>
      </c>
      <c r="L48" s="75">
        <f t="shared" si="8"/>
        <v>0</v>
      </c>
      <c r="M48" s="76">
        <f>SUM(M49:M50)</f>
        <v>10571.74</v>
      </c>
      <c r="N48" s="42"/>
      <c r="O48" s="42">
        <f>F48+H48</f>
        <v>0</v>
      </c>
      <c r="P48" s="42"/>
      <c r="Q48" s="65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</row>
    <row r="49" spans="1:213" ht="48" x14ac:dyDescent="0.2">
      <c r="A49" s="77" t="s">
        <v>171</v>
      </c>
      <c r="B49" s="78" t="s">
        <v>172</v>
      </c>
      <c r="C49" s="79" t="s">
        <v>5</v>
      </c>
      <c r="D49" s="80">
        <v>106.94</v>
      </c>
      <c r="E49" s="81">
        <v>74.17</v>
      </c>
      <c r="F49" s="81">
        <v>91.26</v>
      </c>
      <c r="G49" s="82">
        <f t="shared" si="1"/>
        <v>9759.34</v>
      </c>
      <c r="H49" s="97"/>
      <c r="I49" s="37">
        <f t="shared" si="5"/>
        <v>0</v>
      </c>
      <c r="J49" s="83"/>
      <c r="K49" s="37">
        <f t="shared" si="6"/>
        <v>0</v>
      </c>
      <c r="L49" s="66">
        <f t="shared" si="0"/>
        <v>106.94</v>
      </c>
      <c r="M49" s="67">
        <f t="shared" ref="M49:M92" si="10">TRUNC(L49*$F49,2)</f>
        <v>9759.34</v>
      </c>
      <c r="N49" s="42"/>
      <c r="O49" s="42"/>
      <c r="P49" s="42"/>
      <c r="Q49" s="65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</row>
    <row r="50" spans="1:213" s="38" customFormat="1" ht="24" x14ac:dyDescent="0.2">
      <c r="A50" s="77" t="s">
        <v>173</v>
      </c>
      <c r="B50" s="78" t="s">
        <v>174</v>
      </c>
      <c r="C50" s="79" t="s">
        <v>79</v>
      </c>
      <c r="D50" s="80">
        <v>15</v>
      </c>
      <c r="E50" s="81">
        <v>22.01</v>
      </c>
      <c r="F50" s="81">
        <v>27.08</v>
      </c>
      <c r="G50" s="82">
        <f t="shared" si="1"/>
        <v>406.2</v>
      </c>
      <c r="H50" s="97">
        <v>15</v>
      </c>
      <c r="I50" s="37">
        <f t="shared" si="5"/>
        <v>406.2</v>
      </c>
      <c r="J50" s="83"/>
      <c r="K50" s="37">
        <f t="shared" si="6"/>
        <v>0</v>
      </c>
      <c r="L50" s="66">
        <f t="shared" si="0"/>
        <v>30</v>
      </c>
      <c r="M50" s="67">
        <f t="shared" si="10"/>
        <v>812.4</v>
      </c>
      <c r="N50" s="42"/>
      <c r="O50" s="42"/>
      <c r="P50" s="42"/>
      <c r="Q50" s="65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</row>
    <row r="51" spans="1:213" s="38" customFormat="1" x14ac:dyDescent="0.2">
      <c r="A51" s="70" t="s">
        <v>13</v>
      </c>
      <c r="B51" s="71" t="s">
        <v>175</v>
      </c>
      <c r="C51" s="72"/>
      <c r="D51" s="84"/>
      <c r="E51" s="72"/>
      <c r="F51" s="72"/>
      <c r="G51" s="74">
        <f>SUM(G52:G55)</f>
        <v>18487.72</v>
      </c>
      <c r="H51" s="96"/>
      <c r="I51" s="49">
        <f>SUM(I52:I55)</f>
        <v>8282.9500000000007</v>
      </c>
      <c r="J51" s="73"/>
      <c r="K51" s="49">
        <f>SUM(K52:K55)</f>
        <v>0</v>
      </c>
      <c r="L51" s="68"/>
      <c r="M51" s="69">
        <f>SUM(M52:M55)</f>
        <v>26770.670000000002</v>
      </c>
      <c r="N51" s="42"/>
      <c r="O51" s="42"/>
      <c r="P51" s="42"/>
      <c r="Q51" s="65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</row>
    <row r="52" spans="1:213" ht="36" x14ac:dyDescent="0.2">
      <c r="A52" s="77" t="s">
        <v>176</v>
      </c>
      <c r="B52" s="78" t="s">
        <v>177</v>
      </c>
      <c r="C52" s="79" t="s">
        <v>5</v>
      </c>
      <c r="D52" s="80">
        <v>269.08</v>
      </c>
      <c r="E52" s="81">
        <v>6.93</v>
      </c>
      <c r="F52" s="81">
        <v>8.52</v>
      </c>
      <c r="G52" s="82">
        <f t="shared" si="1"/>
        <v>2292.56</v>
      </c>
      <c r="H52" s="237">
        <f>(96*2*2)-(2*(D62+D63))</f>
        <v>227.8</v>
      </c>
      <c r="I52" s="37">
        <f t="shared" si="5"/>
        <v>1940.85</v>
      </c>
      <c r="J52" s="83"/>
      <c r="K52" s="37">
        <f t="shared" si="6"/>
        <v>0</v>
      </c>
      <c r="L52" s="66">
        <f t="shared" ref="L52:L81" si="11">D52+H52-J52</f>
        <v>496.88</v>
      </c>
      <c r="M52" s="67">
        <f t="shared" si="10"/>
        <v>4233.41</v>
      </c>
      <c r="N52" s="42"/>
      <c r="O52" s="42"/>
      <c r="P52" s="42"/>
      <c r="Q52" s="65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</row>
    <row r="53" spans="1:213" ht="36" x14ac:dyDescent="0.2">
      <c r="A53" s="77" t="s">
        <v>178</v>
      </c>
      <c r="B53" s="78" t="s">
        <v>44</v>
      </c>
      <c r="C53" s="79" t="s">
        <v>5</v>
      </c>
      <c r="D53" s="80">
        <v>182.58</v>
      </c>
      <c r="E53" s="81">
        <v>31.97</v>
      </c>
      <c r="F53" s="81">
        <v>39.33</v>
      </c>
      <c r="G53" s="82">
        <f t="shared" si="1"/>
        <v>7180.87</v>
      </c>
      <c r="H53" s="237">
        <f>(96*2*2)-D55-(2*(D62+D63))</f>
        <v>142.51</v>
      </c>
      <c r="I53" s="37">
        <f t="shared" si="5"/>
        <v>5604.91</v>
      </c>
      <c r="J53" s="83"/>
      <c r="K53" s="37">
        <f t="shared" si="6"/>
        <v>0</v>
      </c>
      <c r="L53" s="66">
        <f t="shared" si="11"/>
        <v>325.09000000000003</v>
      </c>
      <c r="M53" s="67">
        <f t="shared" si="10"/>
        <v>12785.78</v>
      </c>
      <c r="N53" s="42"/>
      <c r="O53" s="42"/>
      <c r="P53" s="42"/>
      <c r="Q53" s="65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</row>
    <row r="54" spans="1:213" ht="36" x14ac:dyDescent="0.2">
      <c r="A54" s="77" t="s">
        <v>179</v>
      </c>
      <c r="B54" s="78" t="s">
        <v>180</v>
      </c>
      <c r="C54" s="79" t="s">
        <v>5</v>
      </c>
      <c r="D54" s="80">
        <v>85.29</v>
      </c>
      <c r="E54" s="81">
        <v>42.48</v>
      </c>
      <c r="F54" s="81">
        <v>52.27</v>
      </c>
      <c r="G54" s="82">
        <f t="shared" si="1"/>
        <v>4458.1000000000004</v>
      </c>
      <c r="H54" s="237"/>
      <c r="I54" s="37">
        <f t="shared" si="5"/>
        <v>0</v>
      </c>
      <c r="J54" s="83"/>
      <c r="K54" s="37">
        <f t="shared" si="6"/>
        <v>0</v>
      </c>
      <c r="L54" s="66">
        <f t="shared" si="11"/>
        <v>85.29</v>
      </c>
      <c r="M54" s="67">
        <f t="shared" si="10"/>
        <v>4458.1000000000004</v>
      </c>
      <c r="N54" s="42"/>
      <c r="O54" s="42"/>
      <c r="P54" s="42"/>
      <c r="Q54" s="65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</row>
    <row r="55" spans="1:213" ht="24" x14ac:dyDescent="0.2">
      <c r="A55" s="77" t="s">
        <v>181</v>
      </c>
      <c r="B55" s="78" t="s">
        <v>182</v>
      </c>
      <c r="C55" s="79" t="s">
        <v>61</v>
      </c>
      <c r="D55" s="80">
        <v>85.29</v>
      </c>
      <c r="E55" s="81">
        <v>43.42</v>
      </c>
      <c r="F55" s="81">
        <v>53.42</v>
      </c>
      <c r="G55" s="82">
        <f t="shared" si="1"/>
        <v>4556.1899999999996</v>
      </c>
      <c r="H55" s="97">
        <f>(0.4*2.3*15)</f>
        <v>13.799999999999999</v>
      </c>
      <c r="I55" s="37">
        <f t="shared" si="5"/>
        <v>737.19</v>
      </c>
      <c r="J55" s="83"/>
      <c r="K55" s="37">
        <f t="shared" si="6"/>
        <v>0</v>
      </c>
      <c r="L55" s="66">
        <f t="shared" si="11"/>
        <v>99.09</v>
      </c>
      <c r="M55" s="67">
        <f t="shared" si="10"/>
        <v>5293.38</v>
      </c>
      <c r="N55" s="42"/>
      <c r="O55" s="42"/>
      <c r="P55" s="42"/>
      <c r="Q55" s="65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</row>
    <row r="56" spans="1:213" x14ac:dyDescent="0.2">
      <c r="A56" s="70" t="s">
        <v>183</v>
      </c>
      <c r="B56" s="71" t="s">
        <v>20</v>
      </c>
      <c r="C56" s="72"/>
      <c r="D56" s="84"/>
      <c r="E56" s="72"/>
      <c r="F56" s="72"/>
      <c r="G56" s="74">
        <f>SUM(G57:G60)</f>
        <v>4957.1399999999994</v>
      </c>
      <c r="H56" s="96"/>
      <c r="I56" s="49">
        <f>SUM(I57:I60)</f>
        <v>0</v>
      </c>
      <c r="J56" s="73"/>
      <c r="K56" s="49">
        <f>SUM(K57:K60)</f>
        <v>0</v>
      </c>
      <c r="L56" s="68">
        <f t="shared" si="11"/>
        <v>0</v>
      </c>
      <c r="M56" s="69">
        <f>SUM(M57:M60)</f>
        <v>4957.1399999999994</v>
      </c>
      <c r="N56" s="42"/>
      <c r="O56" s="42"/>
      <c r="P56" s="42"/>
      <c r="Q56" s="65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</row>
    <row r="57" spans="1:213" ht="24" x14ac:dyDescent="0.2">
      <c r="A57" s="77" t="s">
        <v>184</v>
      </c>
      <c r="B57" s="78" t="s">
        <v>21</v>
      </c>
      <c r="C57" s="79" t="s">
        <v>5</v>
      </c>
      <c r="D57" s="80">
        <v>182.58</v>
      </c>
      <c r="E57" s="81">
        <v>1.64</v>
      </c>
      <c r="F57" s="81">
        <v>2.0099999999999998</v>
      </c>
      <c r="G57" s="82">
        <f t="shared" si="1"/>
        <v>366.98</v>
      </c>
      <c r="H57" s="97"/>
      <c r="I57" s="37">
        <f t="shared" si="5"/>
        <v>0</v>
      </c>
      <c r="J57" s="83"/>
      <c r="K57" s="37">
        <f t="shared" si="6"/>
        <v>0</v>
      </c>
      <c r="L57" s="66">
        <f t="shared" si="11"/>
        <v>182.58</v>
      </c>
      <c r="M57" s="67">
        <f t="shared" si="10"/>
        <v>366.98</v>
      </c>
      <c r="N57" s="42"/>
      <c r="O57" s="42"/>
      <c r="P57" s="42"/>
      <c r="Q57" s="65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</row>
    <row r="58" spans="1:213" ht="24" x14ac:dyDescent="0.2">
      <c r="A58" s="77" t="s">
        <v>185</v>
      </c>
      <c r="B58" s="78" t="s">
        <v>22</v>
      </c>
      <c r="C58" s="79" t="s">
        <v>5</v>
      </c>
      <c r="D58" s="80">
        <v>182.58</v>
      </c>
      <c r="E58" s="81">
        <v>8.57</v>
      </c>
      <c r="F58" s="81">
        <v>10.54</v>
      </c>
      <c r="G58" s="82">
        <f t="shared" si="1"/>
        <v>1924.39</v>
      </c>
      <c r="H58" s="97"/>
      <c r="I58" s="37">
        <f t="shared" si="5"/>
        <v>0</v>
      </c>
      <c r="J58" s="83"/>
      <c r="K58" s="37">
        <f t="shared" si="6"/>
        <v>0</v>
      </c>
      <c r="L58" s="66">
        <f t="shared" si="11"/>
        <v>182.58</v>
      </c>
      <c r="M58" s="67">
        <f t="shared" si="10"/>
        <v>1924.39</v>
      </c>
      <c r="N58" s="42"/>
      <c r="O58" s="42"/>
      <c r="P58" s="42"/>
      <c r="Q58" s="65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</row>
    <row r="59" spans="1:213" ht="36" x14ac:dyDescent="0.2">
      <c r="A59" s="77" t="s">
        <v>186</v>
      </c>
      <c r="B59" s="78" t="s">
        <v>187</v>
      </c>
      <c r="C59" s="79" t="s">
        <v>5</v>
      </c>
      <c r="D59" s="80">
        <v>59.2</v>
      </c>
      <c r="E59" s="81">
        <v>5.62</v>
      </c>
      <c r="F59" s="81">
        <v>6.91</v>
      </c>
      <c r="G59" s="82">
        <f t="shared" si="1"/>
        <v>409.07</v>
      </c>
      <c r="H59" s="97"/>
      <c r="I59" s="37">
        <f t="shared" si="5"/>
        <v>0</v>
      </c>
      <c r="J59" s="83"/>
      <c r="K59" s="37">
        <f t="shared" si="6"/>
        <v>0</v>
      </c>
      <c r="L59" s="66">
        <f t="shared" si="11"/>
        <v>59.2</v>
      </c>
      <c r="M59" s="67">
        <f t="shared" si="10"/>
        <v>409.07</v>
      </c>
      <c r="N59" s="42"/>
      <c r="O59" s="42"/>
      <c r="P59" s="42"/>
      <c r="Q59" s="65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</row>
    <row r="60" spans="1:213" s="38" customFormat="1" ht="36" x14ac:dyDescent="0.2">
      <c r="A60" s="77" t="s">
        <v>188</v>
      </c>
      <c r="B60" s="78" t="s">
        <v>189</v>
      </c>
      <c r="C60" s="79" t="s">
        <v>5</v>
      </c>
      <c r="D60" s="80">
        <v>59.2</v>
      </c>
      <c r="E60" s="81">
        <v>30.98</v>
      </c>
      <c r="F60" s="81">
        <v>38.119999999999997</v>
      </c>
      <c r="G60" s="82">
        <f t="shared" si="1"/>
        <v>2256.6999999999998</v>
      </c>
      <c r="H60" s="97"/>
      <c r="I60" s="37">
        <f t="shared" si="5"/>
        <v>0</v>
      </c>
      <c r="J60" s="83"/>
      <c r="K60" s="37">
        <f t="shared" si="6"/>
        <v>0</v>
      </c>
      <c r="L60" s="66">
        <f t="shared" si="11"/>
        <v>59.2</v>
      </c>
      <c r="M60" s="67">
        <f t="shared" si="10"/>
        <v>2256.6999999999998</v>
      </c>
      <c r="N60" s="42"/>
      <c r="O60" s="42"/>
      <c r="P60" s="42"/>
      <c r="Q60" s="65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</row>
    <row r="61" spans="1:213" ht="24.95" customHeight="1" x14ac:dyDescent="0.2">
      <c r="A61" s="70" t="s">
        <v>190</v>
      </c>
      <c r="B61" s="71" t="s">
        <v>191</v>
      </c>
      <c r="C61" s="72"/>
      <c r="D61" s="84"/>
      <c r="E61" s="72"/>
      <c r="F61" s="72"/>
      <c r="G61" s="74">
        <f>SUM(G62:G63)</f>
        <v>36047.26</v>
      </c>
      <c r="H61" s="96"/>
      <c r="I61" s="49">
        <f>SUM(I62:I63)</f>
        <v>0</v>
      </c>
      <c r="J61" s="73"/>
      <c r="K61" s="49">
        <f>SUM(K62:K63)</f>
        <v>0</v>
      </c>
      <c r="L61" s="68">
        <f t="shared" si="11"/>
        <v>0</v>
      </c>
      <c r="M61" s="69">
        <f>SUM(M62:M63)</f>
        <v>36047.26</v>
      </c>
      <c r="N61" s="42"/>
      <c r="O61" s="42"/>
      <c r="P61" s="42"/>
      <c r="Q61" s="65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</row>
    <row r="62" spans="1:213" x14ac:dyDescent="0.2">
      <c r="A62" s="77" t="s">
        <v>192</v>
      </c>
      <c r="B62" s="78" t="s">
        <v>193</v>
      </c>
      <c r="C62" s="79" t="s">
        <v>5</v>
      </c>
      <c r="D62" s="80">
        <v>48.5</v>
      </c>
      <c r="E62" s="81">
        <v>367.48</v>
      </c>
      <c r="F62" s="81">
        <v>452.18</v>
      </c>
      <c r="G62" s="82">
        <f t="shared" si="1"/>
        <v>21930.73</v>
      </c>
      <c r="H62" s="97"/>
      <c r="I62" s="37">
        <f t="shared" si="5"/>
        <v>0</v>
      </c>
      <c r="J62" s="83"/>
      <c r="K62" s="37">
        <f t="shared" si="6"/>
        <v>0</v>
      </c>
      <c r="L62" s="66">
        <f t="shared" si="11"/>
        <v>48.5</v>
      </c>
      <c r="M62" s="67">
        <f t="shared" si="10"/>
        <v>21930.73</v>
      </c>
      <c r="N62" s="42"/>
      <c r="O62" s="42"/>
      <c r="P62" s="42"/>
      <c r="Q62" s="65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</row>
    <row r="63" spans="1:213" ht="24" x14ac:dyDescent="0.2">
      <c r="A63" s="77" t="s">
        <v>194</v>
      </c>
      <c r="B63" s="78" t="s">
        <v>195</v>
      </c>
      <c r="C63" s="79" t="s">
        <v>5</v>
      </c>
      <c r="D63" s="80">
        <v>29.6</v>
      </c>
      <c r="E63" s="81">
        <v>387.58</v>
      </c>
      <c r="F63" s="81">
        <v>476.91</v>
      </c>
      <c r="G63" s="82">
        <f t="shared" si="1"/>
        <v>14116.53</v>
      </c>
      <c r="H63" s="97"/>
      <c r="I63" s="37">
        <f t="shared" si="5"/>
        <v>0</v>
      </c>
      <c r="J63" s="83"/>
      <c r="K63" s="37">
        <f t="shared" si="6"/>
        <v>0</v>
      </c>
      <c r="L63" s="66">
        <f t="shared" si="11"/>
        <v>29.6</v>
      </c>
      <c r="M63" s="67">
        <f t="shared" si="10"/>
        <v>14116.53</v>
      </c>
      <c r="N63" s="42"/>
      <c r="O63" s="42"/>
      <c r="P63" s="42"/>
      <c r="Q63" s="65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</row>
    <row r="64" spans="1:213" x14ac:dyDescent="0.2">
      <c r="A64" s="70" t="s">
        <v>196</v>
      </c>
      <c r="B64" s="71" t="s">
        <v>197</v>
      </c>
      <c r="C64" s="72"/>
      <c r="D64" s="84"/>
      <c r="E64" s="72"/>
      <c r="F64" s="72"/>
      <c r="G64" s="74">
        <f>SUM(G65:G76)</f>
        <v>156330.79000000004</v>
      </c>
      <c r="H64" s="96"/>
      <c r="I64" s="49">
        <f>SUM(I65:I76)</f>
        <v>24114.61</v>
      </c>
      <c r="J64" s="73"/>
      <c r="K64" s="49">
        <f>SUM(K65:K76)</f>
        <v>0</v>
      </c>
      <c r="L64" s="68">
        <f t="shared" si="11"/>
        <v>0</v>
      </c>
      <c r="M64" s="69">
        <f>SUM(M65:M76)</f>
        <v>180445.41000000003</v>
      </c>
      <c r="N64" s="42"/>
      <c r="O64" s="42"/>
      <c r="P64" s="239"/>
      <c r="Q64" s="65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</row>
    <row r="65" spans="1:213" ht="24" x14ac:dyDescent="0.2">
      <c r="A65" s="77" t="s">
        <v>198</v>
      </c>
      <c r="B65" s="78" t="s">
        <v>199</v>
      </c>
      <c r="C65" s="79" t="s">
        <v>5</v>
      </c>
      <c r="D65" s="80">
        <v>1637.6</v>
      </c>
      <c r="E65" s="81">
        <v>53.49</v>
      </c>
      <c r="F65" s="81">
        <v>65.81</v>
      </c>
      <c r="G65" s="82">
        <f t="shared" si="1"/>
        <v>107770.45</v>
      </c>
      <c r="H65" s="97"/>
      <c r="I65" s="37">
        <f t="shared" si="5"/>
        <v>0</v>
      </c>
      <c r="J65" s="83"/>
      <c r="K65" s="37">
        <f t="shared" si="6"/>
        <v>0</v>
      </c>
      <c r="L65" s="66">
        <f t="shared" si="11"/>
        <v>1637.6</v>
      </c>
      <c r="M65" s="67">
        <f t="shared" si="10"/>
        <v>107770.45</v>
      </c>
      <c r="N65" s="42"/>
      <c r="O65" s="42"/>
      <c r="P65" s="42"/>
      <c r="Q65" s="65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</row>
    <row r="66" spans="1:213" s="38" customFormat="1" ht="24" x14ac:dyDescent="0.2">
      <c r="A66" s="77" t="s">
        <v>200</v>
      </c>
      <c r="B66" s="78" t="s">
        <v>201</v>
      </c>
      <c r="C66" s="79" t="s">
        <v>5</v>
      </c>
      <c r="D66" s="80">
        <v>59.65</v>
      </c>
      <c r="E66" s="81">
        <v>54.56</v>
      </c>
      <c r="F66" s="81">
        <v>67.13</v>
      </c>
      <c r="G66" s="82">
        <f t="shared" si="1"/>
        <v>4004.3</v>
      </c>
      <c r="H66" s="97"/>
      <c r="I66" s="37">
        <f t="shared" si="5"/>
        <v>0</v>
      </c>
      <c r="J66" s="83"/>
      <c r="K66" s="37">
        <f t="shared" si="6"/>
        <v>0</v>
      </c>
      <c r="L66" s="66">
        <f t="shared" si="11"/>
        <v>59.65</v>
      </c>
      <c r="M66" s="67">
        <f t="shared" si="10"/>
        <v>4004.3</v>
      </c>
      <c r="N66" s="42"/>
      <c r="O66" s="42"/>
      <c r="P66" s="42"/>
      <c r="Q66" s="65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</row>
    <row r="67" spans="1:213" ht="24" x14ac:dyDescent="0.2">
      <c r="A67" s="77" t="s">
        <v>202</v>
      </c>
      <c r="B67" s="78" t="s">
        <v>14</v>
      </c>
      <c r="C67" s="79" t="s">
        <v>10</v>
      </c>
      <c r="D67" s="80">
        <v>287.27</v>
      </c>
      <c r="E67" s="81">
        <v>62.67</v>
      </c>
      <c r="F67" s="81">
        <v>77.11</v>
      </c>
      <c r="G67" s="82">
        <f t="shared" si="1"/>
        <v>22151.38</v>
      </c>
      <c r="H67" s="233">
        <f>((50*12)-D67)</f>
        <v>312.73</v>
      </c>
      <c r="I67" s="37">
        <f t="shared" si="5"/>
        <v>24114.61</v>
      </c>
      <c r="J67" s="83"/>
      <c r="K67" s="37">
        <f t="shared" si="6"/>
        <v>0</v>
      </c>
      <c r="L67" s="66">
        <f t="shared" si="11"/>
        <v>600</v>
      </c>
      <c r="M67" s="67">
        <f t="shared" si="10"/>
        <v>46266</v>
      </c>
      <c r="N67" s="42"/>
      <c r="O67" s="42"/>
      <c r="P67" s="42"/>
      <c r="Q67" s="65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</row>
    <row r="68" spans="1:213" s="38" customFormat="1" x14ac:dyDescent="0.2">
      <c r="A68" s="77" t="s">
        <v>203</v>
      </c>
      <c r="B68" s="78" t="s">
        <v>204</v>
      </c>
      <c r="C68" s="79" t="s">
        <v>18</v>
      </c>
      <c r="D68" s="80">
        <v>10</v>
      </c>
      <c r="E68" s="81">
        <v>7.94</v>
      </c>
      <c r="F68" s="81">
        <v>9.77</v>
      </c>
      <c r="G68" s="82">
        <f t="shared" si="1"/>
        <v>97.7</v>
      </c>
      <c r="H68" s="97"/>
      <c r="I68" s="37">
        <f t="shared" si="5"/>
        <v>0</v>
      </c>
      <c r="J68" s="83"/>
      <c r="K68" s="37">
        <f t="shared" si="6"/>
        <v>0</v>
      </c>
      <c r="L68" s="66">
        <f t="shared" si="11"/>
        <v>10</v>
      </c>
      <c r="M68" s="67">
        <f t="shared" si="10"/>
        <v>97.7</v>
      </c>
      <c r="N68" s="42"/>
      <c r="O68" s="42"/>
      <c r="P68" s="42"/>
      <c r="Q68" s="65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</row>
    <row r="69" spans="1:213" ht="48" x14ac:dyDescent="0.2">
      <c r="A69" s="77" t="s">
        <v>205</v>
      </c>
      <c r="B69" s="78" t="s">
        <v>206</v>
      </c>
      <c r="C69" s="79" t="s">
        <v>17</v>
      </c>
      <c r="D69" s="80">
        <v>314.74</v>
      </c>
      <c r="E69" s="81">
        <v>37.53</v>
      </c>
      <c r="F69" s="81">
        <v>46.18</v>
      </c>
      <c r="G69" s="82">
        <f t="shared" si="1"/>
        <v>14534.69</v>
      </c>
      <c r="H69" s="97"/>
      <c r="I69" s="37">
        <f t="shared" si="5"/>
        <v>0</v>
      </c>
      <c r="J69" s="83"/>
      <c r="K69" s="37">
        <f t="shared" si="6"/>
        <v>0</v>
      </c>
      <c r="L69" s="66">
        <f t="shared" si="11"/>
        <v>314.74</v>
      </c>
      <c r="M69" s="67">
        <f t="shared" si="10"/>
        <v>14534.69</v>
      </c>
      <c r="N69" s="42"/>
      <c r="O69" s="42"/>
      <c r="P69" s="42"/>
      <c r="Q69" s="65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</row>
    <row r="70" spans="1:213" ht="24" x14ac:dyDescent="0.2">
      <c r="A70" s="77" t="s">
        <v>207</v>
      </c>
      <c r="B70" s="78" t="s">
        <v>208</v>
      </c>
      <c r="C70" s="79" t="s">
        <v>19</v>
      </c>
      <c r="D70" s="80">
        <v>4</v>
      </c>
      <c r="E70" s="81">
        <v>118.17</v>
      </c>
      <c r="F70" s="81">
        <v>145.4</v>
      </c>
      <c r="G70" s="82">
        <f t="shared" si="1"/>
        <v>581.6</v>
      </c>
      <c r="H70" s="97"/>
      <c r="I70" s="37">
        <f t="shared" si="5"/>
        <v>0</v>
      </c>
      <c r="J70" s="83"/>
      <c r="K70" s="37">
        <f t="shared" si="6"/>
        <v>0</v>
      </c>
      <c r="L70" s="66">
        <f t="shared" si="11"/>
        <v>4</v>
      </c>
      <c r="M70" s="67">
        <f t="shared" si="10"/>
        <v>581.6</v>
      </c>
      <c r="N70" s="42"/>
      <c r="O70" s="42"/>
      <c r="P70" s="42"/>
      <c r="Q70" s="65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</row>
    <row r="71" spans="1:213" ht="36" x14ac:dyDescent="0.2">
      <c r="A71" s="77" t="s">
        <v>209</v>
      </c>
      <c r="B71" s="78" t="s">
        <v>210</v>
      </c>
      <c r="C71" s="79" t="s">
        <v>5</v>
      </c>
      <c r="D71" s="80">
        <v>12.95</v>
      </c>
      <c r="E71" s="81">
        <v>16.350000000000001</v>
      </c>
      <c r="F71" s="81">
        <v>20.11</v>
      </c>
      <c r="G71" s="82">
        <f t="shared" si="1"/>
        <v>260.42</v>
      </c>
      <c r="H71" s="97"/>
      <c r="I71" s="37">
        <f t="shared" si="5"/>
        <v>0</v>
      </c>
      <c r="J71" s="83"/>
      <c r="K71" s="37">
        <f t="shared" si="6"/>
        <v>0</v>
      </c>
      <c r="L71" s="66">
        <f t="shared" si="11"/>
        <v>12.95</v>
      </c>
      <c r="M71" s="67">
        <f t="shared" si="10"/>
        <v>260.42</v>
      </c>
      <c r="N71" s="42"/>
      <c r="O71" s="42"/>
      <c r="P71" s="42"/>
      <c r="Q71" s="65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</row>
    <row r="72" spans="1:213" s="38" customFormat="1" ht="24" x14ac:dyDescent="0.2">
      <c r="A72" s="77" t="s">
        <v>211</v>
      </c>
      <c r="B72" s="78" t="s">
        <v>212</v>
      </c>
      <c r="C72" s="79" t="s">
        <v>17</v>
      </c>
      <c r="D72" s="80">
        <v>130</v>
      </c>
      <c r="E72" s="81">
        <v>3.8</v>
      </c>
      <c r="F72" s="81">
        <v>4.67</v>
      </c>
      <c r="G72" s="82">
        <f t="shared" si="1"/>
        <v>607.1</v>
      </c>
      <c r="H72" s="97"/>
      <c r="I72" s="37">
        <f t="shared" si="5"/>
        <v>0</v>
      </c>
      <c r="J72" s="83"/>
      <c r="K72" s="37">
        <f t="shared" si="6"/>
        <v>0</v>
      </c>
      <c r="L72" s="66">
        <f t="shared" si="11"/>
        <v>130</v>
      </c>
      <c r="M72" s="67">
        <f t="shared" si="10"/>
        <v>607.1</v>
      </c>
      <c r="N72" s="42"/>
      <c r="O72" s="42"/>
      <c r="P72" s="42"/>
      <c r="Q72" s="65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</row>
    <row r="73" spans="1:213" x14ac:dyDescent="0.2">
      <c r="A73" s="77" t="s">
        <v>213</v>
      </c>
      <c r="B73" s="78" t="s">
        <v>214</v>
      </c>
      <c r="C73" s="79" t="s">
        <v>5</v>
      </c>
      <c r="D73" s="80">
        <v>17.559999999999999</v>
      </c>
      <c r="E73" s="81">
        <v>18.05</v>
      </c>
      <c r="F73" s="81">
        <v>22.21</v>
      </c>
      <c r="G73" s="82">
        <f t="shared" si="1"/>
        <v>390</v>
      </c>
      <c r="H73" s="97"/>
      <c r="I73" s="37">
        <f t="shared" si="5"/>
        <v>0</v>
      </c>
      <c r="J73" s="83"/>
      <c r="K73" s="37">
        <f t="shared" si="6"/>
        <v>0</v>
      </c>
      <c r="L73" s="66">
        <f t="shared" si="11"/>
        <v>17.559999999999999</v>
      </c>
      <c r="M73" s="67">
        <f t="shared" si="10"/>
        <v>390</v>
      </c>
      <c r="N73" s="42"/>
      <c r="O73" s="42"/>
      <c r="P73" s="42"/>
      <c r="Q73" s="65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</row>
    <row r="74" spans="1:213" s="38" customFormat="1" ht="48" x14ac:dyDescent="0.2">
      <c r="A74" s="77" t="s">
        <v>215</v>
      </c>
      <c r="B74" s="78" t="s">
        <v>216</v>
      </c>
      <c r="C74" s="79" t="s">
        <v>5</v>
      </c>
      <c r="D74" s="80">
        <v>131.72</v>
      </c>
      <c r="E74" s="81">
        <v>23.62</v>
      </c>
      <c r="F74" s="81">
        <v>29.06</v>
      </c>
      <c r="G74" s="82">
        <f t="shared" si="1"/>
        <v>3827.78</v>
      </c>
      <c r="H74" s="97"/>
      <c r="I74" s="37">
        <f t="shared" si="5"/>
        <v>0</v>
      </c>
      <c r="J74" s="83"/>
      <c r="K74" s="37">
        <f t="shared" si="6"/>
        <v>0</v>
      </c>
      <c r="L74" s="66">
        <f t="shared" si="11"/>
        <v>131.72</v>
      </c>
      <c r="M74" s="67">
        <f t="shared" si="10"/>
        <v>3827.78</v>
      </c>
      <c r="N74" s="42"/>
      <c r="O74" s="42"/>
      <c r="P74" s="42"/>
      <c r="Q74" s="65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</row>
    <row r="75" spans="1:213" ht="48" x14ac:dyDescent="0.2">
      <c r="A75" s="77" t="s">
        <v>217</v>
      </c>
      <c r="B75" s="78" t="s">
        <v>206</v>
      </c>
      <c r="C75" s="79" t="s">
        <v>17</v>
      </c>
      <c r="D75" s="80">
        <v>23.6</v>
      </c>
      <c r="E75" s="81">
        <v>37.53</v>
      </c>
      <c r="F75" s="81">
        <v>46.18</v>
      </c>
      <c r="G75" s="82">
        <f t="shared" si="1"/>
        <v>1089.8399999999999</v>
      </c>
      <c r="H75" s="97"/>
      <c r="I75" s="37">
        <f t="shared" si="5"/>
        <v>0</v>
      </c>
      <c r="J75" s="83"/>
      <c r="K75" s="37">
        <f t="shared" si="6"/>
        <v>0</v>
      </c>
      <c r="L75" s="66">
        <f t="shared" si="11"/>
        <v>23.6</v>
      </c>
      <c r="M75" s="67">
        <f t="shared" si="10"/>
        <v>1089.8399999999999</v>
      </c>
      <c r="N75" s="42"/>
      <c r="O75" s="42"/>
      <c r="P75" s="42"/>
      <c r="Q75" s="65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</row>
    <row r="76" spans="1:213" ht="24" x14ac:dyDescent="0.2">
      <c r="A76" s="77" t="s">
        <v>218</v>
      </c>
      <c r="B76" s="78" t="s">
        <v>14</v>
      </c>
      <c r="C76" s="79" t="s">
        <v>10</v>
      </c>
      <c r="D76" s="80">
        <v>13.17</v>
      </c>
      <c r="E76" s="81">
        <v>62.67</v>
      </c>
      <c r="F76" s="81">
        <v>77.11</v>
      </c>
      <c r="G76" s="82">
        <f t="shared" si="1"/>
        <v>1015.53</v>
      </c>
      <c r="H76" s="97"/>
      <c r="I76" s="37">
        <f t="shared" si="5"/>
        <v>0</v>
      </c>
      <c r="J76" s="83"/>
      <c r="K76" s="37">
        <f t="shared" si="6"/>
        <v>0</v>
      </c>
      <c r="L76" s="66">
        <f t="shared" si="11"/>
        <v>13.17</v>
      </c>
      <c r="M76" s="67">
        <f t="shared" si="10"/>
        <v>1015.53</v>
      </c>
      <c r="N76" s="42"/>
      <c r="O76" s="42"/>
      <c r="P76" s="42"/>
      <c r="Q76" s="65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</row>
    <row r="77" spans="1:213" x14ac:dyDescent="0.2">
      <c r="A77" s="70" t="s">
        <v>219</v>
      </c>
      <c r="B77" s="71" t="s">
        <v>220</v>
      </c>
      <c r="C77" s="72"/>
      <c r="D77" s="84"/>
      <c r="E77" s="72"/>
      <c r="F77" s="72"/>
      <c r="G77" s="74">
        <f>SUM(G78:G79)</f>
        <v>5835.76</v>
      </c>
      <c r="H77" s="96"/>
      <c r="I77" s="49">
        <f>SUM(I78:I79)</f>
        <v>0</v>
      </c>
      <c r="J77" s="73"/>
      <c r="K77" s="49">
        <f>SUM(K78:K79)</f>
        <v>0</v>
      </c>
      <c r="L77" s="68">
        <f t="shared" si="11"/>
        <v>0</v>
      </c>
      <c r="M77" s="69">
        <f>SUM(M78:M79)</f>
        <v>5835.76</v>
      </c>
      <c r="N77" s="42"/>
      <c r="O77" s="42"/>
      <c r="P77" s="42"/>
      <c r="Q77" s="65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</row>
    <row r="78" spans="1:213" x14ac:dyDescent="0.2">
      <c r="A78" s="77" t="s">
        <v>221</v>
      </c>
      <c r="B78" s="78" t="s">
        <v>222</v>
      </c>
      <c r="C78" s="79" t="s">
        <v>5</v>
      </c>
      <c r="D78" s="80">
        <v>849.73</v>
      </c>
      <c r="E78" s="81">
        <v>4.03</v>
      </c>
      <c r="F78" s="81">
        <v>4.95</v>
      </c>
      <c r="G78" s="82">
        <f t="shared" si="1"/>
        <v>4206.16</v>
      </c>
      <c r="H78" s="97"/>
      <c r="I78" s="37">
        <f t="shared" si="5"/>
        <v>0</v>
      </c>
      <c r="J78" s="83"/>
      <c r="K78" s="37">
        <f t="shared" si="6"/>
        <v>0</v>
      </c>
      <c r="L78" s="66">
        <f t="shared" si="11"/>
        <v>849.73</v>
      </c>
      <c r="M78" s="67">
        <f t="shared" si="10"/>
        <v>4206.16</v>
      </c>
      <c r="N78" s="42"/>
      <c r="O78" s="42"/>
      <c r="P78" s="42"/>
      <c r="Q78" s="65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</row>
    <row r="79" spans="1:213" s="38" customFormat="1" ht="24" x14ac:dyDescent="0.2">
      <c r="A79" s="77" t="s">
        <v>223</v>
      </c>
      <c r="B79" s="78" t="s">
        <v>224</v>
      </c>
      <c r="C79" s="79" t="s">
        <v>6</v>
      </c>
      <c r="D79" s="80">
        <v>10</v>
      </c>
      <c r="E79" s="81">
        <v>132.44</v>
      </c>
      <c r="F79" s="81">
        <v>162.96</v>
      </c>
      <c r="G79" s="82">
        <f t="shared" ref="G79:G88" si="12">TRUNC(D79*F79,2)</f>
        <v>1629.6</v>
      </c>
      <c r="H79" s="97"/>
      <c r="I79" s="37">
        <f t="shared" si="5"/>
        <v>0</v>
      </c>
      <c r="J79" s="83"/>
      <c r="K79" s="37">
        <f t="shared" si="6"/>
        <v>0</v>
      </c>
      <c r="L79" s="66">
        <f t="shared" si="11"/>
        <v>10</v>
      </c>
      <c r="M79" s="67">
        <f t="shared" si="10"/>
        <v>1629.6</v>
      </c>
      <c r="N79" s="42"/>
      <c r="O79" s="42"/>
      <c r="P79" s="42"/>
      <c r="Q79" s="65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</row>
    <row r="80" spans="1:213" x14ac:dyDescent="0.2">
      <c r="A80" s="70" t="s">
        <v>225</v>
      </c>
      <c r="B80" s="71" t="s">
        <v>23</v>
      </c>
      <c r="C80" s="72"/>
      <c r="D80" s="73"/>
      <c r="E80" s="72"/>
      <c r="F80" s="72"/>
      <c r="G80" s="74">
        <f>SUM(G81)</f>
        <v>24288.15</v>
      </c>
      <c r="H80" s="96"/>
      <c r="I80" s="49">
        <f>SUM(I81)</f>
        <v>0</v>
      </c>
      <c r="J80" s="73"/>
      <c r="K80" s="49">
        <f>SUM(K81)</f>
        <v>0</v>
      </c>
      <c r="L80" s="68">
        <f t="shared" si="11"/>
        <v>0</v>
      </c>
      <c r="M80" s="69">
        <f>SUM(M81)</f>
        <v>24288.15</v>
      </c>
      <c r="N80" s="42"/>
      <c r="O80" s="42"/>
      <c r="P80" s="42"/>
      <c r="Q80" s="65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</row>
    <row r="81" spans="1:213" s="7" customFormat="1" x14ac:dyDescent="0.2">
      <c r="A81" s="77" t="s">
        <v>226</v>
      </c>
      <c r="B81" s="78" t="s">
        <v>23</v>
      </c>
      <c r="C81" s="79" t="s">
        <v>6</v>
      </c>
      <c r="D81" s="83">
        <v>1</v>
      </c>
      <c r="E81" s="81">
        <v>19738.439999999999</v>
      </c>
      <c r="F81" s="81">
        <v>24288.15</v>
      </c>
      <c r="G81" s="82">
        <f t="shared" si="12"/>
        <v>24288.15</v>
      </c>
      <c r="H81" s="97"/>
      <c r="I81" s="37">
        <f t="shared" si="5"/>
        <v>0</v>
      </c>
      <c r="J81" s="83"/>
      <c r="K81" s="37">
        <f t="shared" si="6"/>
        <v>0</v>
      </c>
      <c r="L81" s="66">
        <f t="shared" si="11"/>
        <v>1</v>
      </c>
      <c r="M81" s="67">
        <f t="shared" si="10"/>
        <v>24288.15</v>
      </c>
      <c r="N81" s="44"/>
      <c r="O81" s="44"/>
      <c r="P81" s="44"/>
      <c r="Q81" s="65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</row>
    <row r="82" spans="1:213" x14ac:dyDescent="0.2">
      <c r="A82" s="70">
        <v>3</v>
      </c>
      <c r="B82" s="71" t="s">
        <v>58</v>
      </c>
      <c r="C82" s="71"/>
      <c r="D82" s="85"/>
      <c r="E82" s="71"/>
      <c r="F82" s="71"/>
      <c r="G82" s="238">
        <f>SUM(G83:G92)</f>
        <v>0</v>
      </c>
      <c r="H82" s="98"/>
      <c r="I82" s="94">
        <f>SUM(I83:I92)</f>
        <v>14924.640000000001</v>
      </c>
      <c r="J82" s="85"/>
      <c r="K82" s="94">
        <f>SUM(K83:K92)</f>
        <v>0</v>
      </c>
      <c r="L82" s="86"/>
      <c r="M82" s="87">
        <f>SUM(M83:M92)</f>
        <v>14924.640000000001</v>
      </c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</row>
    <row r="83" spans="1:213" x14ac:dyDescent="0.2">
      <c r="A83" s="234" t="s">
        <v>227</v>
      </c>
      <c r="B83" s="235" t="s">
        <v>292</v>
      </c>
      <c r="C83" s="232" t="s">
        <v>10</v>
      </c>
      <c r="D83" s="83">
        <v>0</v>
      </c>
      <c r="E83" s="81"/>
      <c r="F83" s="81">
        <v>78.08</v>
      </c>
      <c r="G83" s="82">
        <f>TRUNC(D83*E83,2)</f>
        <v>0</v>
      </c>
      <c r="H83" s="97">
        <f>95.9*0.4*0.5</f>
        <v>19.180000000000003</v>
      </c>
      <c r="I83" s="37">
        <f t="shared" si="5"/>
        <v>1497.57</v>
      </c>
      <c r="J83" s="83"/>
      <c r="K83" s="37">
        <f t="shared" si="6"/>
        <v>0</v>
      </c>
      <c r="L83" s="66">
        <f t="shared" ref="L83:L92" si="13">D83+H83-J83</f>
        <v>19.180000000000003</v>
      </c>
      <c r="M83" s="67">
        <f t="shared" si="10"/>
        <v>1497.57</v>
      </c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</row>
    <row r="84" spans="1:213" ht="13.9" customHeight="1" x14ac:dyDescent="0.2">
      <c r="A84" s="234" t="s">
        <v>228</v>
      </c>
      <c r="B84" s="235" t="s">
        <v>297</v>
      </c>
      <c r="C84" s="232" t="s">
        <v>5</v>
      </c>
      <c r="D84" s="83">
        <v>0</v>
      </c>
      <c r="E84" s="81"/>
      <c r="F84" s="81">
        <v>1.18</v>
      </c>
      <c r="G84" s="82">
        <f t="shared" si="12"/>
        <v>0</v>
      </c>
      <c r="H84" s="97">
        <v>1769.62</v>
      </c>
      <c r="I84" s="37">
        <f t="shared" si="5"/>
        <v>2088.15</v>
      </c>
      <c r="J84" s="83"/>
      <c r="K84" s="37">
        <f t="shared" si="6"/>
        <v>0</v>
      </c>
      <c r="L84" s="66">
        <f t="shared" si="13"/>
        <v>1769.62</v>
      </c>
      <c r="M84" s="67">
        <f t="shared" si="10"/>
        <v>2088.15</v>
      </c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</row>
    <row r="85" spans="1:213" ht="24" x14ac:dyDescent="0.2">
      <c r="A85" s="234" t="s">
        <v>229</v>
      </c>
      <c r="B85" s="235" t="s">
        <v>313</v>
      </c>
      <c r="C85" s="232" t="s">
        <v>10</v>
      </c>
      <c r="D85" s="83">
        <v>0</v>
      </c>
      <c r="E85" s="81"/>
      <c r="F85" s="81">
        <v>60.879236061</v>
      </c>
      <c r="G85" s="82">
        <f t="shared" si="12"/>
        <v>0</v>
      </c>
      <c r="H85" s="97">
        <f>95.9*0.15*0.6</f>
        <v>8.6310000000000002</v>
      </c>
      <c r="I85" s="37">
        <f t="shared" si="5"/>
        <v>525.44000000000005</v>
      </c>
      <c r="J85" s="83"/>
      <c r="K85" s="37">
        <f t="shared" si="6"/>
        <v>0</v>
      </c>
      <c r="L85" s="66">
        <f t="shared" si="13"/>
        <v>8.6310000000000002</v>
      </c>
      <c r="M85" s="67">
        <f t="shared" si="10"/>
        <v>525.44000000000005</v>
      </c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</row>
    <row r="86" spans="1:213" x14ac:dyDescent="0.2">
      <c r="A86" s="234" t="s">
        <v>230</v>
      </c>
      <c r="B86" s="235" t="s">
        <v>255</v>
      </c>
      <c r="C86" s="232" t="s">
        <v>79</v>
      </c>
      <c r="D86" s="83">
        <v>0</v>
      </c>
      <c r="E86" s="81"/>
      <c r="F86" s="81">
        <v>417.46</v>
      </c>
      <c r="G86" s="82">
        <f t="shared" si="12"/>
        <v>0</v>
      </c>
      <c r="H86" s="97">
        <v>6</v>
      </c>
      <c r="I86" s="37">
        <f t="shared" si="5"/>
        <v>2504.7600000000002</v>
      </c>
      <c r="J86" s="83"/>
      <c r="K86" s="37">
        <f t="shared" si="6"/>
        <v>0</v>
      </c>
      <c r="L86" s="66">
        <f t="shared" si="13"/>
        <v>6</v>
      </c>
      <c r="M86" s="67">
        <f t="shared" si="10"/>
        <v>2504.7600000000002</v>
      </c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</row>
    <row r="87" spans="1:213" ht="24" x14ac:dyDescent="0.2">
      <c r="A87" s="234" t="s">
        <v>231</v>
      </c>
      <c r="B87" s="235" t="s">
        <v>256</v>
      </c>
      <c r="C87" s="232" t="s">
        <v>61</v>
      </c>
      <c r="D87" s="83">
        <v>0</v>
      </c>
      <c r="E87" s="81"/>
      <c r="F87" s="81">
        <v>31.98</v>
      </c>
      <c r="G87" s="82">
        <f t="shared" si="12"/>
        <v>0</v>
      </c>
      <c r="H87" s="97">
        <f>95.6*0.6</f>
        <v>57.359999999999992</v>
      </c>
      <c r="I87" s="37">
        <f t="shared" si="5"/>
        <v>1834.37</v>
      </c>
      <c r="J87" s="83"/>
      <c r="K87" s="37">
        <f t="shared" si="6"/>
        <v>0</v>
      </c>
      <c r="L87" s="66">
        <f t="shared" si="13"/>
        <v>57.359999999999992</v>
      </c>
      <c r="M87" s="67">
        <f t="shared" si="10"/>
        <v>1834.37</v>
      </c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</row>
    <row r="88" spans="1:213" ht="39" customHeight="1" x14ac:dyDescent="0.2">
      <c r="A88" s="234" t="s">
        <v>232</v>
      </c>
      <c r="B88" s="235" t="s">
        <v>257</v>
      </c>
      <c r="C88" s="232" t="s">
        <v>17</v>
      </c>
      <c r="D88" s="83">
        <v>0</v>
      </c>
      <c r="E88" s="81"/>
      <c r="F88" s="81">
        <v>16.940000000000001</v>
      </c>
      <c r="G88" s="82">
        <f t="shared" si="12"/>
        <v>0</v>
      </c>
      <c r="H88" s="97">
        <f>(5*(1.65+1.65+7)*2)+(15*4*2.3)</f>
        <v>241</v>
      </c>
      <c r="I88" s="37">
        <f t="shared" si="5"/>
        <v>4082.54</v>
      </c>
      <c r="J88" s="83"/>
      <c r="K88" s="37">
        <f t="shared" si="6"/>
        <v>0</v>
      </c>
      <c r="L88" s="66">
        <f t="shared" si="13"/>
        <v>241</v>
      </c>
      <c r="M88" s="67">
        <f t="shared" si="10"/>
        <v>4082.54</v>
      </c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</row>
    <row r="89" spans="1:213" ht="16.899999999999999" customHeight="1" x14ac:dyDescent="0.2">
      <c r="A89" s="234" t="s">
        <v>233</v>
      </c>
      <c r="B89" s="235" t="s">
        <v>277</v>
      </c>
      <c r="C89" s="232" t="s">
        <v>59</v>
      </c>
      <c r="D89" s="83"/>
      <c r="E89" s="81"/>
      <c r="F89" s="81">
        <v>7.36</v>
      </c>
      <c r="G89" s="82"/>
      <c r="H89" s="97">
        <v>85.29</v>
      </c>
      <c r="I89" s="37">
        <f t="shared" ref="I89:I92" si="14">TRUNC(F89*H89,2)</f>
        <v>627.73</v>
      </c>
      <c r="J89" s="83"/>
      <c r="K89" s="37">
        <f t="shared" ref="K89:K92" si="15">TRUNC(F89*J89,2)</f>
        <v>0</v>
      </c>
      <c r="L89" s="66">
        <f t="shared" si="13"/>
        <v>85.29</v>
      </c>
      <c r="M89" s="67">
        <f t="shared" si="10"/>
        <v>627.73</v>
      </c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</row>
    <row r="90" spans="1:213" ht="39" customHeight="1" x14ac:dyDescent="0.2">
      <c r="A90" s="234" t="s">
        <v>234</v>
      </c>
      <c r="B90" s="235" t="s">
        <v>280</v>
      </c>
      <c r="C90" s="232" t="s">
        <v>59</v>
      </c>
      <c r="D90" s="83"/>
      <c r="E90" s="81"/>
      <c r="F90" s="81">
        <v>31.49</v>
      </c>
      <c r="G90" s="82"/>
      <c r="H90" s="97">
        <v>10</v>
      </c>
      <c r="I90" s="37">
        <f t="shared" si="14"/>
        <v>314.89999999999998</v>
      </c>
      <c r="J90" s="83"/>
      <c r="K90" s="37">
        <f t="shared" si="15"/>
        <v>0</v>
      </c>
      <c r="L90" s="66">
        <f t="shared" si="13"/>
        <v>10</v>
      </c>
      <c r="M90" s="67">
        <f t="shared" si="10"/>
        <v>314.89999999999998</v>
      </c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</row>
    <row r="91" spans="1:213" ht="52.5" customHeight="1" x14ac:dyDescent="0.2">
      <c r="A91" s="234" t="s">
        <v>235</v>
      </c>
      <c r="B91" s="235" t="s">
        <v>282</v>
      </c>
      <c r="C91" s="232" t="s">
        <v>79</v>
      </c>
      <c r="D91" s="83"/>
      <c r="E91" s="81"/>
      <c r="F91" s="81">
        <v>358.29</v>
      </c>
      <c r="G91" s="82"/>
      <c r="H91" s="97">
        <v>2</v>
      </c>
      <c r="I91" s="37">
        <f t="shared" si="14"/>
        <v>716.58</v>
      </c>
      <c r="J91" s="83"/>
      <c r="K91" s="37">
        <f t="shared" si="15"/>
        <v>0</v>
      </c>
      <c r="L91" s="66">
        <f t="shared" si="13"/>
        <v>2</v>
      </c>
      <c r="M91" s="67">
        <f t="shared" si="10"/>
        <v>716.58</v>
      </c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</row>
    <row r="92" spans="1:213" ht="29.45" customHeight="1" x14ac:dyDescent="0.2">
      <c r="A92" s="234" t="s">
        <v>236</v>
      </c>
      <c r="B92" s="235" t="s">
        <v>283</v>
      </c>
      <c r="C92" s="232" t="s">
        <v>17</v>
      </c>
      <c r="D92" s="83"/>
      <c r="E92" s="81"/>
      <c r="F92" s="81">
        <v>48.84</v>
      </c>
      <c r="G92" s="82"/>
      <c r="H92" s="97">
        <v>15</v>
      </c>
      <c r="I92" s="37">
        <f t="shared" si="14"/>
        <v>732.6</v>
      </c>
      <c r="J92" s="83"/>
      <c r="K92" s="37">
        <f t="shared" si="15"/>
        <v>0</v>
      </c>
      <c r="L92" s="66">
        <f t="shared" si="13"/>
        <v>15</v>
      </c>
      <c r="M92" s="67">
        <f t="shared" si="10"/>
        <v>732.6</v>
      </c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</row>
    <row r="93" spans="1:213" x14ac:dyDescent="0.2">
      <c r="A93" s="77"/>
      <c r="B93" s="88"/>
      <c r="C93" s="79"/>
      <c r="D93" s="83"/>
      <c r="E93" s="81"/>
      <c r="F93" s="81"/>
      <c r="G93" s="82"/>
      <c r="H93" s="97"/>
      <c r="I93" s="37">
        <f t="shared" ref="I93" si="16">ROUND(H93*$F93,2)</f>
        <v>0</v>
      </c>
      <c r="J93" s="83"/>
      <c r="K93" s="37">
        <f t="shared" ref="K93" si="17">ROUND(J93*$F93,2)</f>
        <v>0</v>
      </c>
      <c r="L93" s="66"/>
      <c r="M93" s="67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</row>
    <row r="94" spans="1:213" ht="15" thickBot="1" x14ac:dyDescent="0.25">
      <c r="A94" s="255" t="s">
        <v>24</v>
      </c>
      <c r="B94" s="256"/>
      <c r="C94" s="256"/>
      <c r="D94" s="256"/>
      <c r="E94" s="256"/>
      <c r="F94" s="256"/>
      <c r="G94" s="93">
        <f>SUM(G82,G23,G12)</f>
        <v>314000.00000000006</v>
      </c>
      <c r="H94" s="90"/>
      <c r="I94" s="89">
        <f>SUM(I82,I23,I12)</f>
        <v>53216.41</v>
      </c>
      <c r="J94" s="91"/>
      <c r="K94" s="89">
        <f>SUM(K82,K23,K12)</f>
        <v>0</v>
      </c>
      <c r="L94" s="92"/>
      <c r="M94" s="93">
        <f>SUM(M82,M23,M12)-0.04</f>
        <v>367216.41000000015</v>
      </c>
      <c r="N94" s="42"/>
      <c r="O94" s="42"/>
      <c r="P94" s="65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</row>
    <row r="95" spans="1:213" x14ac:dyDescent="0.2">
      <c r="A95" s="16"/>
      <c r="B95" s="20"/>
      <c r="C95" s="6"/>
      <c r="D95" s="16"/>
      <c r="E95" s="21"/>
      <c r="F95" s="21"/>
      <c r="G95" s="15"/>
      <c r="H95" s="15"/>
      <c r="I95" s="15"/>
      <c r="J95" s="15"/>
      <c r="K95" s="15"/>
      <c r="L95" s="15"/>
      <c r="M95" s="18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</row>
    <row r="96" spans="1:213" x14ac:dyDescent="0.2">
      <c r="A96" s="16"/>
      <c r="B96" s="20"/>
      <c r="C96" s="6"/>
      <c r="D96" s="16"/>
      <c r="E96" s="21"/>
      <c r="F96" s="21"/>
      <c r="G96" s="15"/>
      <c r="H96" s="15"/>
      <c r="I96" s="15"/>
      <c r="J96" s="15"/>
      <c r="K96" s="15"/>
      <c r="L96" s="15"/>
      <c r="M96" s="18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</row>
    <row r="97" spans="1:213" x14ac:dyDescent="0.2">
      <c r="A97" s="16"/>
      <c r="B97" s="20"/>
      <c r="C97" s="6"/>
      <c r="D97" s="16"/>
      <c r="E97" s="21"/>
      <c r="F97" s="21"/>
      <c r="G97" s="15"/>
      <c r="H97" s="102"/>
      <c r="I97" s="102"/>
      <c r="J97" s="245" t="s">
        <v>67</v>
      </c>
      <c r="K97" s="246"/>
      <c r="L97" s="15"/>
      <c r="M97" s="18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</row>
    <row r="98" spans="1:213" x14ac:dyDescent="0.2">
      <c r="A98" s="16"/>
      <c r="B98" s="20"/>
      <c r="C98" s="6"/>
      <c r="D98" s="16"/>
      <c r="E98" s="21"/>
      <c r="F98" s="21"/>
      <c r="G98" s="15"/>
      <c r="H98" s="247" t="s">
        <v>68</v>
      </c>
      <c r="I98" s="248"/>
      <c r="J98" s="100">
        <f>K94</f>
        <v>0</v>
      </c>
      <c r="K98" s="101">
        <f>J98/G94</f>
        <v>0</v>
      </c>
      <c r="L98" s="15"/>
      <c r="M98" s="18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</row>
    <row r="99" spans="1:213" x14ac:dyDescent="0.2">
      <c r="A99" s="16"/>
      <c r="B99" s="20"/>
      <c r="C99" s="6"/>
      <c r="D99" s="16"/>
      <c r="E99" s="21"/>
      <c r="F99" s="21"/>
      <c r="G99" s="15"/>
      <c r="H99" s="247" t="s">
        <v>69</v>
      </c>
      <c r="I99" s="248"/>
      <c r="J99" s="100">
        <f>I94-I82</f>
        <v>38291.770000000004</v>
      </c>
      <c r="K99" s="101">
        <f>J99/G94</f>
        <v>0.12194831210191082</v>
      </c>
      <c r="L99" s="15"/>
      <c r="M99" s="18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</row>
    <row r="100" spans="1:213" x14ac:dyDescent="0.2">
      <c r="A100" s="16"/>
      <c r="B100" s="20"/>
      <c r="C100" s="6"/>
      <c r="D100" s="16"/>
      <c r="E100" s="21"/>
      <c r="F100" s="21"/>
      <c r="G100" s="15"/>
      <c r="H100" s="247" t="s">
        <v>70</v>
      </c>
      <c r="I100" s="248"/>
      <c r="J100" s="100">
        <f>I82</f>
        <v>14924.640000000001</v>
      </c>
      <c r="K100" s="101">
        <f>J100/G94</f>
        <v>4.7530700636942667E-2</v>
      </c>
      <c r="L100" s="15"/>
      <c r="M100" s="18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</row>
    <row r="101" spans="1:213" ht="14.25" customHeight="1" x14ac:dyDescent="0.2">
      <c r="A101" s="99"/>
      <c r="B101" s="247" t="s">
        <v>64</v>
      </c>
      <c r="C101" s="248"/>
      <c r="D101" s="100">
        <f>J98</f>
        <v>0</v>
      </c>
      <c r="E101" s="101">
        <f>D101/G94</f>
        <v>0</v>
      </c>
      <c r="F101" s="13"/>
      <c r="G101" s="14"/>
      <c r="H101" s="14"/>
      <c r="I101" s="14"/>
      <c r="J101" s="14"/>
      <c r="K101" s="14"/>
      <c r="L101" s="6"/>
      <c r="M101" s="6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</row>
    <row r="102" spans="1:213" ht="14.25" customHeight="1" x14ac:dyDescent="0.2">
      <c r="A102" s="99"/>
      <c r="B102" s="247" t="s">
        <v>65</v>
      </c>
      <c r="C102" s="248"/>
      <c r="D102" s="100">
        <f>J99</f>
        <v>38291.770000000004</v>
      </c>
      <c r="E102" s="101">
        <f>D102/G94</f>
        <v>0.12194831210191082</v>
      </c>
      <c r="F102" s="17"/>
      <c r="G102" s="22"/>
      <c r="H102" s="22"/>
      <c r="I102" s="22"/>
      <c r="J102" s="22"/>
      <c r="K102" s="22"/>
      <c r="L102" s="6"/>
      <c r="M102" s="6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</row>
    <row r="103" spans="1:213" s="7" customFormat="1" ht="14.25" customHeight="1" x14ac:dyDescent="0.2">
      <c r="A103" s="99"/>
      <c r="B103" s="247" t="s">
        <v>66</v>
      </c>
      <c r="C103" s="248"/>
      <c r="D103" s="100">
        <f>J100</f>
        <v>14924.640000000001</v>
      </c>
      <c r="E103" s="101">
        <f>D103/G94</f>
        <v>4.7530700636942667E-2</v>
      </c>
      <c r="F103" s="19"/>
      <c r="G103" s="15"/>
      <c r="H103" s="15"/>
      <c r="I103" s="15"/>
      <c r="J103" s="15"/>
      <c r="K103" s="15"/>
      <c r="L103" s="6"/>
      <c r="M103" s="6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</row>
    <row r="104" spans="1:213" x14ac:dyDescent="0.2">
      <c r="A104" s="16"/>
      <c r="B104" s="20"/>
      <c r="C104" s="6"/>
      <c r="D104" s="16"/>
      <c r="E104" s="21"/>
      <c r="F104" s="21"/>
      <c r="G104" s="15"/>
      <c r="H104" s="15"/>
      <c r="I104" s="15"/>
      <c r="J104" s="15"/>
      <c r="K104" s="15"/>
      <c r="L104" s="15"/>
      <c r="M104" s="18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</row>
    <row r="105" spans="1:213" x14ac:dyDescent="0.2"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</row>
    <row r="106" spans="1:213" x14ac:dyDescent="0.2"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</row>
    <row r="107" spans="1:213" x14ac:dyDescent="0.2"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</row>
    <row r="108" spans="1:213" x14ac:dyDescent="0.2"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</row>
    <row r="109" spans="1:213" x14ac:dyDescent="0.2"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</row>
    <row r="110" spans="1:213" x14ac:dyDescent="0.2"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</row>
    <row r="111" spans="1:213" x14ac:dyDescent="0.2"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</row>
    <row r="112" spans="1:213" x14ac:dyDescent="0.2"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</row>
    <row r="113" spans="14:213" x14ac:dyDescent="0.2"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</row>
    <row r="114" spans="14:213" x14ac:dyDescent="0.2"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</row>
    <row r="115" spans="14:213" x14ac:dyDescent="0.2"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</row>
    <row r="116" spans="14:213" x14ac:dyDescent="0.2"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</row>
    <row r="117" spans="14:213" x14ac:dyDescent="0.2"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</row>
    <row r="118" spans="14:213" x14ac:dyDescent="0.2"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</row>
    <row r="119" spans="14:213" x14ac:dyDescent="0.2"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</row>
    <row r="120" spans="14:213" x14ac:dyDescent="0.2"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</row>
    <row r="121" spans="14:213" x14ac:dyDescent="0.2"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</row>
    <row r="122" spans="14:213" x14ac:dyDescent="0.2"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</row>
    <row r="123" spans="14:213" x14ac:dyDescent="0.2"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</row>
    <row r="124" spans="14:213" x14ac:dyDescent="0.2"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</row>
    <row r="125" spans="14:213" ht="24.95" customHeight="1" x14ac:dyDescent="0.2"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</row>
    <row r="126" spans="14:213" x14ac:dyDescent="0.2"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</row>
    <row r="127" spans="14:213" x14ac:dyDescent="0.2"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</row>
    <row r="128" spans="14:213" x14ac:dyDescent="0.2"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</row>
    <row r="129" spans="1:213" x14ac:dyDescent="0.2"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</row>
    <row r="130" spans="1:213" x14ac:dyDescent="0.2"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</row>
    <row r="131" spans="1:213" x14ac:dyDescent="0.2"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</row>
    <row r="132" spans="1:213" x14ac:dyDescent="0.2"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</row>
    <row r="133" spans="1:213" ht="24.95" customHeight="1" x14ac:dyDescent="0.2"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</row>
    <row r="134" spans="1:213" x14ac:dyDescent="0.2"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</row>
    <row r="135" spans="1:213" x14ac:dyDescent="0.2"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</row>
    <row r="136" spans="1:213" s="7" customFormat="1" ht="20.100000000000001" customHeight="1" x14ac:dyDescent="0.2">
      <c r="A136" s="1"/>
      <c r="B136" s="1"/>
      <c r="C136" s="1"/>
      <c r="D136" s="8"/>
      <c r="E136" s="10"/>
      <c r="F136" s="11"/>
      <c r="G136" s="11"/>
      <c r="H136" s="11"/>
      <c r="I136" s="11"/>
      <c r="J136" s="11"/>
      <c r="K136" s="11"/>
      <c r="L136" s="12"/>
      <c r="M136" s="12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  <c r="FW136" s="44"/>
      <c r="FX136" s="44"/>
      <c r="FY136" s="44"/>
      <c r="FZ136" s="44"/>
      <c r="GA136" s="44"/>
      <c r="GB136" s="44"/>
      <c r="GC136" s="44"/>
      <c r="GD136" s="44"/>
      <c r="GE136" s="44"/>
      <c r="GF136" s="44"/>
      <c r="GG136" s="44"/>
      <c r="GH136" s="44"/>
      <c r="GI136" s="44"/>
      <c r="GJ136" s="44"/>
      <c r="GK136" s="44"/>
      <c r="GL136" s="44"/>
      <c r="GM136" s="44"/>
      <c r="GN136" s="44"/>
      <c r="GO136" s="44"/>
      <c r="GP136" s="44"/>
      <c r="GQ136" s="44"/>
      <c r="GR136" s="44"/>
      <c r="GS136" s="44"/>
      <c r="GT136" s="44"/>
      <c r="GU136" s="44"/>
      <c r="GV136" s="44"/>
      <c r="GW136" s="44"/>
      <c r="GX136" s="44"/>
      <c r="GY136" s="44"/>
      <c r="GZ136" s="44"/>
      <c r="HA136" s="44"/>
      <c r="HB136" s="44"/>
      <c r="HC136" s="44"/>
      <c r="HD136" s="44"/>
      <c r="HE136" s="44"/>
    </row>
    <row r="137" spans="1:213" x14ac:dyDescent="0.2"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</row>
    <row r="138" spans="1:213" x14ac:dyDescent="0.2"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</row>
    <row r="139" spans="1:213" x14ac:dyDescent="0.2"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</row>
    <row r="140" spans="1:213" x14ac:dyDescent="0.2"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</row>
    <row r="141" spans="1:213" x14ac:dyDescent="0.2"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</row>
    <row r="142" spans="1:213" x14ac:dyDescent="0.2"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</row>
    <row r="143" spans="1:213" x14ac:dyDescent="0.2"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</row>
    <row r="144" spans="1:213" ht="24.95" customHeight="1" x14ac:dyDescent="0.2"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</row>
    <row r="145" spans="1:213" x14ac:dyDescent="0.2"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</row>
    <row r="146" spans="1:213" x14ac:dyDescent="0.2"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</row>
    <row r="147" spans="1:213" x14ac:dyDescent="0.2"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</row>
    <row r="148" spans="1:213" x14ac:dyDescent="0.2"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</row>
    <row r="149" spans="1:213" x14ac:dyDescent="0.2"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</row>
    <row r="150" spans="1:213" x14ac:dyDescent="0.2"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</row>
    <row r="151" spans="1:213" ht="24.95" customHeight="1" x14ac:dyDescent="0.2"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</row>
    <row r="152" spans="1:213" x14ac:dyDescent="0.2"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</row>
    <row r="153" spans="1:213" ht="24.95" customHeight="1" x14ac:dyDescent="0.2"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</row>
    <row r="154" spans="1:213" x14ac:dyDescent="0.2"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</row>
    <row r="155" spans="1:213" ht="24.95" customHeight="1" x14ac:dyDescent="0.2"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</row>
    <row r="156" spans="1:213" ht="24.95" customHeight="1" x14ac:dyDescent="0.2"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</row>
    <row r="157" spans="1:213" s="6" customFormat="1" ht="24.95" customHeight="1" x14ac:dyDescent="0.2">
      <c r="A157" s="1"/>
      <c r="B157" s="1"/>
      <c r="C157" s="1"/>
      <c r="D157" s="8"/>
      <c r="E157" s="10"/>
      <c r="F157" s="11"/>
      <c r="G157" s="11"/>
      <c r="H157" s="11"/>
      <c r="I157" s="11"/>
      <c r="J157" s="11"/>
      <c r="K157" s="11"/>
      <c r="L157" s="12"/>
      <c r="M157" s="12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  <c r="FP157" s="41"/>
      <c r="FQ157" s="41"/>
      <c r="FR157" s="41"/>
      <c r="FS157" s="41"/>
      <c r="FT157" s="41"/>
      <c r="FU157" s="41"/>
      <c r="FV157" s="41"/>
      <c r="FW157" s="41"/>
      <c r="FX157" s="41"/>
      <c r="FY157" s="41"/>
      <c r="FZ157" s="41"/>
      <c r="GA157" s="41"/>
      <c r="GB157" s="41"/>
      <c r="GC157" s="41"/>
      <c r="GD157" s="41"/>
      <c r="GE157" s="41"/>
      <c r="GF157" s="41"/>
      <c r="GG157" s="41"/>
      <c r="GH157" s="41"/>
      <c r="GI157" s="41"/>
      <c r="GJ157" s="41"/>
      <c r="GK157" s="41"/>
      <c r="GL157" s="41"/>
      <c r="GM157" s="41"/>
      <c r="GN157" s="41"/>
      <c r="GO157" s="41"/>
      <c r="GP157" s="41"/>
      <c r="GQ157" s="41"/>
      <c r="GR157" s="41"/>
      <c r="GS157" s="41"/>
      <c r="GT157" s="41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</row>
    <row r="158" spans="1:213" s="6" customFormat="1" ht="24.95" customHeight="1" x14ac:dyDescent="0.2">
      <c r="A158" s="1"/>
      <c r="B158" s="1"/>
      <c r="C158" s="1"/>
      <c r="D158" s="8"/>
      <c r="E158" s="10"/>
      <c r="F158" s="11"/>
      <c r="G158" s="11"/>
      <c r="H158" s="11"/>
      <c r="I158" s="11"/>
      <c r="J158" s="11"/>
      <c r="K158" s="11"/>
      <c r="L158" s="12"/>
      <c r="M158" s="12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41"/>
      <c r="GA158" s="41"/>
      <c r="GB158" s="41"/>
      <c r="GC158" s="41"/>
      <c r="GD158" s="41"/>
      <c r="GE158" s="41"/>
      <c r="GF158" s="41"/>
      <c r="GG158" s="41"/>
      <c r="GH158" s="41"/>
      <c r="GI158" s="41"/>
      <c r="GJ158" s="41"/>
      <c r="GK158" s="41"/>
      <c r="GL158" s="41"/>
      <c r="GM158" s="41"/>
      <c r="GN158" s="41"/>
      <c r="GO158" s="41"/>
      <c r="GP158" s="41"/>
      <c r="GQ158" s="41"/>
      <c r="GR158" s="41"/>
      <c r="GS158" s="41"/>
      <c r="GT158" s="41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</row>
    <row r="159" spans="1:213" s="6" customFormat="1" ht="24.95" customHeight="1" x14ac:dyDescent="0.2">
      <c r="A159" s="1"/>
      <c r="B159" s="1"/>
      <c r="C159" s="1"/>
      <c r="D159" s="8"/>
      <c r="E159" s="10"/>
      <c r="F159" s="11"/>
      <c r="G159" s="11"/>
      <c r="H159" s="11"/>
      <c r="I159" s="11"/>
      <c r="J159" s="11"/>
      <c r="K159" s="11"/>
      <c r="L159" s="12"/>
      <c r="M159" s="12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  <c r="FO159" s="41"/>
      <c r="FP159" s="41"/>
      <c r="FQ159" s="41"/>
      <c r="FR159" s="41"/>
      <c r="FS159" s="41"/>
      <c r="FT159" s="41"/>
      <c r="FU159" s="41"/>
      <c r="FV159" s="41"/>
      <c r="FW159" s="41"/>
      <c r="FX159" s="41"/>
      <c r="FY159" s="41"/>
      <c r="FZ159" s="41"/>
      <c r="GA159" s="41"/>
      <c r="GB159" s="41"/>
      <c r="GC159" s="41"/>
      <c r="GD159" s="41"/>
      <c r="GE159" s="41"/>
      <c r="GF159" s="41"/>
      <c r="GG159" s="41"/>
      <c r="GH159" s="41"/>
      <c r="GI159" s="41"/>
      <c r="GJ159" s="41"/>
      <c r="GK159" s="41"/>
      <c r="GL159" s="41"/>
      <c r="GM159" s="41"/>
      <c r="GN159" s="41"/>
      <c r="GO159" s="41"/>
      <c r="GP159" s="41"/>
      <c r="GQ159" s="41"/>
      <c r="GR159" s="41"/>
      <c r="GS159" s="41"/>
      <c r="GT159" s="41"/>
      <c r="GU159" s="41"/>
      <c r="GV159" s="41"/>
      <c r="GW159" s="41"/>
      <c r="GX159" s="41"/>
      <c r="GY159" s="41"/>
      <c r="GZ159" s="41"/>
      <c r="HA159" s="41"/>
      <c r="HB159" s="41"/>
      <c r="HC159" s="41"/>
      <c r="HD159" s="41"/>
      <c r="HE159" s="41"/>
    </row>
    <row r="160" spans="1:213" s="6" customFormat="1" ht="24.95" customHeight="1" x14ac:dyDescent="0.2">
      <c r="A160" s="1"/>
      <c r="B160" s="1"/>
      <c r="C160" s="1"/>
      <c r="D160" s="8"/>
      <c r="E160" s="10"/>
      <c r="F160" s="11"/>
      <c r="G160" s="11"/>
      <c r="H160" s="11"/>
      <c r="I160" s="11"/>
      <c r="J160" s="11"/>
      <c r="K160" s="11"/>
      <c r="L160" s="12"/>
      <c r="M160" s="12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1"/>
      <c r="EP160" s="41"/>
      <c r="EQ160" s="41"/>
      <c r="ER160" s="41"/>
      <c r="ES160" s="41"/>
      <c r="ET160" s="41"/>
      <c r="EU160" s="41"/>
      <c r="EV160" s="41"/>
      <c r="EW160" s="41"/>
      <c r="EX160" s="41"/>
      <c r="EY160" s="41"/>
      <c r="EZ160" s="41"/>
      <c r="FA160" s="41"/>
      <c r="FB160" s="41"/>
      <c r="FC160" s="41"/>
      <c r="FD160" s="41"/>
      <c r="FE160" s="41"/>
      <c r="FF160" s="41"/>
      <c r="FG160" s="41"/>
      <c r="FH160" s="41"/>
      <c r="FI160" s="41"/>
      <c r="FJ160" s="41"/>
      <c r="FK160" s="41"/>
      <c r="FL160" s="41"/>
      <c r="FM160" s="41"/>
      <c r="FN160" s="41"/>
      <c r="FO160" s="41"/>
      <c r="FP160" s="41"/>
      <c r="FQ160" s="41"/>
      <c r="FR160" s="41"/>
      <c r="FS160" s="41"/>
      <c r="FT160" s="41"/>
      <c r="FU160" s="41"/>
      <c r="FV160" s="41"/>
      <c r="FW160" s="41"/>
      <c r="FX160" s="41"/>
      <c r="FY160" s="41"/>
      <c r="FZ160" s="41"/>
      <c r="GA160" s="41"/>
      <c r="GB160" s="41"/>
      <c r="GC160" s="41"/>
      <c r="GD160" s="41"/>
      <c r="GE160" s="41"/>
      <c r="GF160" s="41"/>
      <c r="GG160" s="41"/>
      <c r="GH160" s="41"/>
      <c r="GI160" s="41"/>
      <c r="GJ160" s="41"/>
      <c r="GK160" s="41"/>
      <c r="GL160" s="41"/>
      <c r="GM160" s="41"/>
      <c r="GN160" s="41"/>
      <c r="GO160" s="41"/>
      <c r="GP160" s="41"/>
      <c r="GQ160" s="41"/>
      <c r="GR160" s="41"/>
      <c r="GS160" s="41"/>
      <c r="GT160" s="41"/>
      <c r="GU160" s="41"/>
      <c r="GV160" s="41"/>
      <c r="GW160" s="41"/>
      <c r="GX160" s="41"/>
      <c r="GY160" s="41"/>
      <c r="GZ160" s="41"/>
      <c r="HA160" s="41"/>
      <c r="HB160" s="41"/>
      <c r="HC160" s="41"/>
      <c r="HD160" s="41"/>
      <c r="HE160" s="41"/>
    </row>
    <row r="161" spans="1:213" s="6" customFormat="1" ht="24.95" customHeight="1" x14ac:dyDescent="0.2">
      <c r="A161" s="1"/>
      <c r="B161" s="1"/>
      <c r="C161" s="1"/>
      <c r="D161" s="8"/>
      <c r="E161" s="10"/>
      <c r="F161" s="11"/>
      <c r="G161" s="11"/>
      <c r="H161" s="11"/>
      <c r="I161" s="11"/>
      <c r="J161" s="11"/>
      <c r="K161" s="11"/>
      <c r="L161" s="12"/>
      <c r="M161" s="12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1"/>
      <c r="EP161" s="41"/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  <c r="FF161" s="41"/>
      <c r="FG161" s="41"/>
      <c r="FH161" s="41"/>
      <c r="FI161" s="41"/>
      <c r="FJ161" s="41"/>
      <c r="FK161" s="41"/>
      <c r="FL161" s="41"/>
      <c r="FM161" s="41"/>
      <c r="FN161" s="41"/>
      <c r="FO161" s="41"/>
      <c r="FP161" s="41"/>
      <c r="FQ161" s="41"/>
      <c r="FR161" s="41"/>
      <c r="FS161" s="41"/>
      <c r="FT161" s="41"/>
      <c r="FU161" s="41"/>
      <c r="FV161" s="41"/>
      <c r="FW161" s="41"/>
      <c r="FX161" s="41"/>
      <c r="FY161" s="41"/>
      <c r="FZ161" s="41"/>
      <c r="GA161" s="41"/>
      <c r="GB161" s="41"/>
      <c r="GC161" s="41"/>
      <c r="GD161" s="41"/>
      <c r="GE161" s="41"/>
      <c r="GF161" s="41"/>
      <c r="GG161" s="41"/>
      <c r="GH161" s="41"/>
      <c r="GI161" s="41"/>
      <c r="GJ161" s="41"/>
      <c r="GK161" s="41"/>
      <c r="GL161" s="41"/>
      <c r="GM161" s="41"/>
      <c r="GN161" s="41"/>
      <c r="GO161" s="41"/>
      <c r="GP161" s="41"/>
      <c r="GQ161" s="41"/>
      <c r="GR161" s="41"/>
      <c r="GS161" s="41"/>
      <c r="GT161" s="41"/>
      <c r="GU161" s="41"/>
      <c r="GV161" s="41"/>
      <c r="GW161" s="41"/>
      <c r="GX161" s="41"/>
      <c r="GY161" s="41"/>
      <c r="GZ161" s="41"/>
      <c r="HA161" s="41"/>
      <c r="HB161" s="41"/>
      <c r="HC161" s="41"/>
      <c r="HD161" s="41"/>
      <c r="HE161" s="41"/>
    </row>
    <row r="162" spans="1:213" s="6" customFormat="1" x14ac:dyDescent="0.2">
      <c r="A162" s="1"/>
      <c r="B162" s="1"/>
      <c r="C162" s="1"/>
      <c r="D162" s="8"/>
      <c r="E162" s="10"/>
      <c r="F162" s="11"/>
      <c r="G162" s="11"/>
      <c r="H162" s="11"/>
      <c r="I162" s="11"/>
      <c r="J162" s="11"/>
      <c r="K162" s="11"/>
      <c r="L162" s="12"/>
      <c r="M162" s="12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  <c r="EO162" s="41"/>
      <c r="EP162" s="41"/>
      <c r="EQ162" s="41"/>
      <c r="ER162" s="41"/>
      <c r="ES162" s="41"/>
      <c r="ET162" s="41"/>
      <c r="EU162" s="41"/>
      <c r="EV162" s="41"/>
      <c r="EW162" s="41"/>
      <c r="EX162" s="41"/>
      <c r="EY162" s="41"/>
      <c r="EZ162" s="41"/>
      <c r="FA162" s="41"/>
      <c r="FB162" s="41"/>
      <c r="FC162" s="41"/>
      <c r="FD162" s="41"/>
      <c r="FE162" s="41"/>
      <c r="FF162" s="41"/>
      <c r="FG162" s="41"/>
      <c r="FH162" s="41"/>
      <c r="FI162" s="41"/>
      <c r="FJ162" s="41"/>
      <c r="FK162" s="41"/>
      <c r="FL162" s="41"/>
      <c r="FM162" s="41"/>
      <c r="FN162" s="41"/>
      <c r="FO162" s="41"/>
      <c r="FP162" s="41"/>
      <c r="FQ162" s="41"/>
      <c r="FR162" s="41"/>
      <c r="FS162" s="41"/>
      <c r="FT162" s="41"/>
      <c r="FU162" s="41"/>
      <c r="FV162" s="41"/>
      <c r="FW162" s="41"/>
      <c r="FX162" s="41"/>
      <c r="FY162" s="41"/>
      <c r="FZ162" s="41"/>
      <c r="GA162" s="41"/>
      <c r="GB162" s="41"/>
      <c r="GC162" s="41"/>
      <c r="GD162" s="41"/>
      <c r="GE162" s="41"/>
      <c r="GF162" s="41"/>
      <c r="GG162" s="41"/>
      <c r="GH162" s="41"/>
      <c r="GI162" s="41"/>
      <c r="GJ162" s="41"/>
      <c r="GK162" s="41"/>
      <c r="GL162" s="41"/>
      <c r="GM162" s="41"/>
      <c r="GN162" s="41"/>
      <c r="GO162" s="41"/>
      <c r="GP162" s="41"/>
      <c r="GQ162" s="41"/>
      <c r="GR162" s="41"/>
      <c r="GS162" s="41"/>
      <c r="GT162" s="41"/>
      <c r="GU162" s="41"/>
      <c r="GV162" s="41"/>
      <c r="GW162" s="41"/>
      <c r="GX162" s="41"/>
      <c r="GY162" s="41"/>
      <c r="GZ162" s="41"/>
      <c r="HA162" s="41"/>
      <c r="HB162" s="41"/>
      <c r="HC162" s="41"/>
      <c r="HD162" s="41"/>
      <c r="HE162" s="41"/>
    </row>
    <row r="163" spans="1:213" x14ac:dyDescent="0.2"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</row>
    <row r="164" spans="1:213" x14ac:dyDescent="0.2"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</row>
    <row r="165" spans="1:213" x14ac:dyDescent="0.2"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</row>
    <row r="166" spans="1:213" x14ac:dyDescent="0.2"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</row>
    <row r="167" spans="1:213" x14ac:dyDescent="0.2"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</row>
    <row r="168" spans="1:213" x14ac:dyDescent="0.2"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</row>
    <row r="169" spans="1:213" x14ac:dyDescent="0.2"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</row>
    <row r="170" spans="1:213" x14ac:dyDescent="0.2"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</row>
    <row r="171" spans="1:213" x14ac:dyDescent="0.2"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</row>
    <row r="172" spans="1:213" x14ac:dyDescent="0.2"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</row>
    <row r="173" spans="1:213" x14ac:dyDescent="0.2"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</row>
    <row r="174" spans="1:213" x14ac:dyDescent="0.2"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</row>
    <row r="175" spans="1:213" x14ac:dyDescent="0.2"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</row>
    <row r="176" spans="1:213" x14ac:dyDescent="0.2"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</row>
    <row r="177" spans="14:213" x14ac:dyDescent="0.2"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</row>
    <row r="178" spans="14:213" x14ac:dyDescent="0.2"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</row>
    <row r="179" spans="14:213" x14ac:dyDescent="0.2"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</row>
    <row r="180" spans="14:213" x14ac:dyDescent="0.2"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</row>
    <row r="181" spans="14:213" x14ac:dyDescent="0.2"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</row>
    <row r="182" spans="14:213" x14ac:dyDescent="0.2"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</row>
    <row r="183" spans="14:213" x14ac:dyDescent="0.2"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</row>
    <row r="184" spans="14:213" x14ac:dyDescent="0.2"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</row>
    <row r="185" spans="14:213" x14ac:dyDescent="0.2"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</row>
    <row r="186" spans="14:213" x14ac:dyDescent="0.2"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</row>
    <row r="187" spans="14:213" x14ac:dyDescent="0.2"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</row>
    <row r="188" spans="14:213" x14ac:dyDescent="0.2"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</row>
    <row r="189" spans="14:213" x14ac:dyDescent="0.2"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</row>
    <row r="190" spans="14:213" x14ac:dyDescent="0.2"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</row>
    <row r="191" spans="14:213" x14ac:dyDescent="0.2"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</row>
    <row r="192" spans="14:213" x14ac:dyDescent="0.2"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</row>
    <row r="193" spans="14:213" x14ac:dyDescent="0.2"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</row>
    <row r="194" spans="14:213" x14ac:dyDescent="0.2"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</row>
    <row r="195" spans="14:213" x14ac:dyDescent="0.2"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</row>
    <row r="196" spans="14:213" x14ac:dyDescent="0.2"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</row>
    <row r="197" spans="14:213" x14ac:dyDescent="0.2"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</row>
    <row r="198" spans="14:213" x14ac:dyDescent="0.2"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</row>
    <row r="199" spans="14:213" x14ac:dyDescent="0.2"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</row>
    <row r="200" spans="14:213" x14ac:dyDescent="0.2"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</row>
    <row r="201" spans="14:213" x14ac:dyDescent="0.2"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</row>
    <row r="202" spans="14:213" x14ac:dyDescent="0.2"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</row>
    <row r="203" spans="14:213" x14ac:dyDescent="0.2"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</row>
    <row r="204" spans="14:213" x14ac:dyDescent="0.2"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</row>
    <row r="205" spans="14:213" x14ac:dyDescent="0.2"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</row>
    <row r="206" spans="14:213" x14ac:dyDescent="0.2"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</row>
    <row r="207" spans="14:213" x14ac:dyDescent="0.2"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</row>
    <row r="208" spans="14:213" x14ac:dyDescent="0.2"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  <c r="FO208" s="42"/>
      <c r="FP208" s="42"/>
      <c r="FQ208" s="42"/>
      <c r="FR208" s="42"/>
      <c r="FS208" s="42"/>
      <c r="FT208" s="42"/>
      <c r="FU208" s="42"/>
      <c r="FV208" s="42"/>
      <c r="FW208" s="42"/>
      <c r="FX208" s="42"/>
      <c r="FY208" s="42"/>
      <c r="FZ208" s="42"/>
      <c r="GA208" s="42"/>
      <c r="GB208" s="42"/>
      <c r="GC208" s="42"/>
      <c r="GD208" s="42"/>
      <c r="GE208" s="42"/>
      <c r="GF208" s="42"/>
      <c r="GG208" s="42"/>
      <c r="GH208" s="42"/>
      <c r="GI208" s="42"/>
      <c r="GJ208" s="42"/>
      <c r="GK208" s="42"/>
      <c r="GL208" s="42"/>
      <c r="GM208" s="42"/>
      <c r="GN208" s="42"/>
      <c r="GO208" s="42"/>
      <c r="GP208" s="42"/>
      <c r="GQ208" s="42"/>
      <c r="GR208" s="42"/>
      <c r="GS208" s="42"/>
      <c r="GT208" s="42"/>
      <c r="GU208" s="42"/>
      <c r="GV208" s="42"/>
      <c r="GW208" s="42"/>
      <c r="GX208" s="42"/>
      <c r="GY208" s="42"/>
      <c r="GZ208" s="42"/>
      <c r="HA208" s="42"/>
      <c r="HB208" s="42"/>
      <c r="HC208" s="42"/>
      <c r="HD208" s="42"/>
      <c r="HE208" s="42"/>
    </row>
    <row r="209" spans="14:213" x14ac:dyDescent="0.2"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</row>
    <row r="210" spans="14:213" x14ac:dyDescent="0.2"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42"/>
      <c r="GN210" s="42"/>
      <c r="GO210" s="42"/>
      <c r="GP210" s="42"/>
      <c r="GQ210" s="42"/>
      <c r="GR210" s="42"/>
      <c r="GS210" s="42"/>
      <c r="GT210" s="42"/>
      <c r="GU210" s="42"/>
      <c r="GV210" s="42"/>
      <c r="GW210" s="42"/>
      <c r="GX210" s="42"/>
      <c r="GY210" s="42"/>
      <c r="GZ210" s="42"/>
      <c r="HA210" s="42"/>
      <c r="HB210" s="42"/>
      <c r="HC210" s="42"/>
      <c r="HD210" s="42"/>
      <c r="HE210" s="42"/>
    </row>
    <row r="211" spans="14:213" x14ac:dyDescent="0.2"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  <c r="GJ211" s="42"/>
      <c r="GK211" s="42"/>
      <c r="GL211" s="42"/>
      <c r="GM211" s="42"/>
      <c r="GN211" s="42"/>
      <c r="GO211" s="42"/>
      <c r="GP211" s="42"/>
      <c r="GQ211" s="42"/>
      <c r="GR211" s="42"/>
      <c r="GS211" s="42"/>
      <c r="GT211" s="42"/>
      <c r="GU211" s="42"/>
      <c r="GV211" s="42"/>
      <c r="GW211" s="42"/>
      <c r="GX211" s="42"/>
      <c r="GY211" s="42"/>
      <c r="GZ211" s="42"/>
      <c r="HA211" s="42"/>
      <c r="HB211" s="42"/>
      <c r="HC211" s="42"/>
      <c r="HD211" s="42"/>
      <c r="HE211" s="42"/>
    </row>
    <row r="212" spans="14:213" x14ac:dyDescent="0.2"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2"/>
      <c r="GF212" s="42"/>
      <c r="GG212" s="42"/>
      <c r="GH212" s="42"/>
      <c r="GI212" s="42"/>
      <c r="GJ212" s="42"/>
      <c r="GK212" s="42"/>
      <c r="GL212" s="42"/>
      <c r="GM212" s="42"/>
      <c r="GN212" s="42"/>
      <c r="GO212" s="42"/>
      <c r="GP212" s="42"/>
      <c r="GQ212" s="42"/>
      <c r="GR212" s="42"/>
      <c r="GS212" s="42"/>
      <c r="GT212" s="42"/>
      <c r="GU212" s="42"/>
      <c r="GV212" s="42"/>
      <c r="GW212" s="42"/>
      <c r="GX212" s="42"/>
      <c r="GY212" s="42"/>
      <c r="GZ212" s="42"/>
      <c r="HA212" s="42"/>
      <c r="HB212" s="42"/>
      <c r="HC212" s="42"/>
      <c r="HD212" s="42"/>
      <c r="HE212" s="42"/>
    </row>
    <row r="213" spans="14:213" x14ac:dyDescent="0.2"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  <c r="DZ213" s="42"/>
      <c r="EA213" s="42"/>
      <c r="EB213" s="42"/>
      <c r="EC213" s="42"/>
      <c r="ED213" s="42"/>
      <c r="EE213" s="42"/>
      <c r="EF213" s="42"/>
      <c r="EG213" s="42"/>
      <c r="EH213" s="42"/>
      <c r="EI213" s="42"/>
      <c r="EJ213" s="42"/>
      <c r="EK213" s="42"/>
      <c r="EL213" s="42"/>
      <c r="EM213" s="42"/>
      <c r="EN213" s="42"/>
      <c r="EO213" s="42"/>
      <c r="EP213" s="42"/>
      <c r="EQ213" s="42"/>
      <c r="ER213" s="42"/>
      <c r="ES213" s="42"/>
      <c r="ET213" s="42"/>
      <c r="EU213" s="42"/>
      <c r="EV213" s="42"/>
      <c r="EW213" s="42"/>
      <c r="EX213" s="42"/>
      <c r="EY213" s="42"/>
      <c r="EZ213" s="42"/>
      <c r="FA213" s="42"/>
      <c r="FB213" s="42"/>
      <c r="FC213" s="42"/>
      <c r="FD213" s="42"/>
      <c r="FE213" s="42"/>
      <c r="FF213" s="42"/>
      <c r="FG213" s="42"/>
      <c r="FH213" s="42"/>
      <c r="FI213" s="42"/>
      <c r="FJ213" s="42"/>
      <c r="FK213" s="42"/>
      <c r="FL213" s="42"/>
      <c r="FM213" s="42"/>
      <c r="FN213" s="42"/>
      <c r="FO213" s="42"/>
      <c r="FP213" s="42"/>
      <c r="FQ213" s="42"/>
      <c r="FR213" s="42"/>
      <c r="FS213" s="42"/>
      <c r="FT213" s="42"/>
      <c r="FU213" s="42"/>
      <c r="FV213" s="42"/>
      <c r="FW213" s="42"/>
      <c r="FX213" s="42"/>
      <c r="FY213" s="42"/>
      <c r="FZ213" s="42"/>
      <c r="GA213" s="42"/>
      <c r="GB213" s="42"/>
      <c r="GC213" s="42"/>
      <c r="GD213" s="42"/>
      <c r="GE213" s="42"/>
      <c r="GF213" s="42"/>
      <c r="GG213" s="42"/>
      <c r="GH213" s="42"/>
      <c r="GI213" s="42"/>
      <c r="GJ213" s="42"/>
      <c r="GK213" s="42"/>
      <c r="GL213" s="42"/>
      <c r="GM213" s="42"/>
      <c r="GN213" s="42"/>
      <c r="GO213" s="42"/>
      <c r="GP213" s="42"/>
      <c r="GQ213" s="42"/>
      <c r="GR213" s="42"/>
      <c r="GS213" s="42"/>
      <c r="GT213" s="42"/>
      <c r="GU213" s="42"/>
      <c r="GV213" s="42"/>
      <c r="GW213" s="42"/>
      <c r="GX213" s="42"/>
      <c r="GY213" s="42"/>
      <c r="GZ213" s="42"/>
      <c r="HA213" s="42"/>
      <c r="HB213" s="42"/>
      <c r="HC213" s="42"/>
      <c r="HD213" s="42"/>
      <c r="HE213" s="42"/>
    </row>
    <row r="214" spans="14:213" x14ac:dyDescent="0.2"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  <c r="GJ214" s="42"/>
      <c r="GK214" s="42"/>
      <c r="GL214" s="42"/>
      <c r="GM214" s="42"/>
      <c r="GN214" s="42"/>
      <c r="GO214" s="42"/>
      <c r="GP214" s="42"/>
      <c r="GQ214" s="42"/>
      <c r="GR214" s="42"/>
      <c r="GS214" s="42"/>
      <c r="GT214" s="42"/>
      <c r="GU214" s="42"/>
      <c r="GV214" s="42"/>
      <c r="GW214" s="42"/>
      <c r="GX214" s="42"/>
      <c r="GY214" s="42"/>
      <c r="GZ214" s="42"/>
      <c r="HA214" s="42"/>
      <c r="HB214" s="42"/>
      <c r="HC214" s="42"/>
      <c r="HD214" s="42"/>
      <c r="HE214" s="42"/>
    </row>
    <row r="215" spans="14:213" x14ac:dyDescent="0.2"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  <c r="DN215" s="42"/>
      <c r="DO215" s="42"/>
      <c r="DP215" s="42"/>
      <c r="DQ215" s="42"/>
      <c r="DR215" s="42"/>
      <c r="DS215" s="42"/>
      <c r="DT215" s="42"/>
      <c r="DU215" s="42"/>
      <c r="DV215" s="42"/>
      <c r="DW215" s="42"/>
      <c r="DX215" s="42"/>
      <c r="DY215" s="42"/>
      <c r="DZ215" s="42"/>
      <c r="EA215" s="42"/>
      <c r="EB215" s="42"/>
      <c r="EC215" s="42"/>
      <c r="ED215" s="42"/>
      <c r="EE215" s="42"/>
      <c r="EF215" s="42"/>
      <c r="EG215" s="42"/>
      <c r="EH215" s="42"/>
      <c r="EI215" s="42"/>
      <c r="EJ215" s="42"/>
      <c r="EK215" s="42"/>
      <c r="EL215" s="42"/>
      <c r="EM215" s="42"/>
      <c r="EN215" s="42"/>
      <c r="EO215" s="42"/>
      <c r="EP215" s="42"/>
      <c r="EQ215" s="42"/>
      <c r="ER215" s="42"/>
      <c r="ES215" s="42"/>
      <c r="ET215" s="42"/>
      <c r="EU215" s="42"/>
      <c r="EV215" s="42"/>
      <c r="EW215" s="42"/>
      <c r="EX215" s="42"/>
      <c r="EY215" s="42"/>
      <c r="EZ215" s="42"/>
      <c r="FA215" s="42"/>
      <c r="FB215" s="42"/>
      <c r="FC215" s="42"/>
      <c r="FD215" s="42"/>
      <c r="FE215" s="42"/>
      <c r="FF215" s="42"/>
      <c r="FG215" s="42"/>
      <c r="FH215" s="42"/>
      <c r="FI215" s="42"/>
      <c r="FJ215" s="42"/>
      <c r="FK215" s="42"/>
      <c r="FL215" s="42"/>
      <c r="FM215" s="42"/>
      <c r="FN215" s="42"/>
      <c r="FO215" s="42"/>
      <c r="FP215" s="42"/>
      <c r="FQ215" s="42"/>
      <c r="FR215" s="42"/>
      <c r="FS215" s="42"/>
      <c r="FT215" s="42"/>
      <c r="FU215" s="42"/>
      <c r="FV215" s="42"/>
      <c r="FW215" s="42"/>
      <c r="FX215" s="42"/>
      <c r="FY215" s="42"/>
      <c r="FZ215" s="42"/>
      <c r="GA215" s="42"/>
      <c r="GB215" s="42"/>
      <c r="GC215" s="42"/>
      <c r="GD215" s="42"/>
      <c r="GE215" s="42"/>
      <c r="GF215" s="42"/>
      <c r="GG215" s="42"/>
      <c r="GH215" s="42"/>
      <c r="GI215" s="42"/>
      <c r="GJ215" s="42"/>
      <c r="GK215" s="42"/>
      <c r="GL215" s="42"/>
      <c r="GM215" s="42"/>
      <c r="GN215" s="42"/>
      <c r="GO215" s="42"/>
      <c r="GP215" s="42"/>
      <c r="GQ215" s="42"/>
      <c r="GR215" s="42"/>
      <c r="GS215" s="42"/>
      <c r="GT215" s="42"/>
      <c r="GU215" s="42"/>
      <c r="GV215" s="42"/>
      <c r="GW215" s="42"/>
      <c r="GX215" s="42"/>
      <c r="GY215" s="42"/>
      <c r="GZ215" s="42"/>
      <c r="HA215" s="42"/>
      <c r="HB215" s="42"/>
      <c r="HC215" s="42"/>
      <c r="HD215" s="42"/>
      <c r="HE215" s="42"/>
    </row>
    <row r="216" spans="14:213" x14ac:dyDescent="0.2"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  <c r="DZ216" s="42"/>
      <c r="EA216" s="42"/>
      <c r="EB216" s="42"/>
      <c r="EC216" s="42"/>
      <c r="ED216" s="42"/>
      <c r="EE216" s="42"/>
      <c r="EF216" s="42"/>
      <c r="EG216" s="42"/>
      <c r="EH216" s="42"/>
      <c r="EI216" s="42"/>
      <c r="EJ216" s="42"/>
      <c r="EK216" s="42"/>
      <c r="EL216" s="42"/>
      <c r="EM216" s="42"/>
      <c r="EN216" s="42"/>
      <c r="EO216" s="42"/>
      <c r="EP216" s="42"/>
      <c r="EQ216" s="42"/>
      <c r="ER216" s="42"/>
      <c r="ES216" s="42"/>
      <c r="ET216" s="42"/>
      <c r="EU216" s="42"/>
      <c r="EV216" s="42"/>
      <c r="EW216" s="42"/>
      <c r="EX216" s="42"/>
      <c r="EY216" s="42"/>
      <c r="EZ216" s="42"/>
      <c r="FA216" s="42"/>
      <c r="FB216" s="42"/>
      <c r="FC216" s="42"/>
      <c r="FD216" s="42"/>
      <c r="FE216" s="42"/>
      <c r="FF216" s="42"/>
      <c r="FG216" s="42"/>
      <c r="FH216" s="42"/>
      <c r="FI216" s="42"/>
      <c r="FJ216" s="42"/>
      <c r="FK216" s="42"/>
      <c r="FL216" s="42"/>
      <c r="FM216" s="42"/>
      <c r="FN216" s="42"/>
      <c r="FO216" s="42"/>
      <c r="FP216" s="42"/>
      <c r="FQ216" s="42"/>
      <c r="FR216" s="42"/>
      <c r="FS216" s="42"/>
      <c r="FT216" s="42"/>
      <c r="FU216" s="42"/>
      <c r="FV216" s="42"/>
      <c r="FW216" s="42"/>
      <c r="FX216" s="42"/>
      <c r="FY216" s="42"/>
      <c r="FZ216" s="42"/>
      <c r="GA216" s="42"/>
      <c r="GB216" s="42"/>
      <c r="GC216" s="42"/>
      <c r="GD216" s="42"/>
      <c r="GE216" s="42"/>
      <c r="GF216" s="42"/>
      <c r="GG216" s="42"/>
      <c r="GH216" s="42"/>
      <c r="GI216" s="42"/>
      <c r="GJ216" s="42"/>
      <c r="GK216" s="42"/>
      <c r="GL216" s="42"/>
      <c r="GM216" s="42"/>
      <c r="GN216" s="42"/>
      <c r="GO216" s="42"/>
      <c r="GP216" s="42"/>
      <c r="GQ216" s="42"/>
      <c r="GR216" s="42"/>
      <c r="GS216" s="42"/>
      <c r="GT216" s="42"/>
      <c r="GU216" s="42"/>
      <c r="GV216" s="42"/>
      <c r="GW216" s="42"/>
      <c r="GX216" s="42"/>
      <c r="GY216" s="42"/>
      <c r="GZ216" s="42"/>
      <c r="HA216" s="42"/>
      <c r="HB216" s="42"/>
      <c r="HC216" s="42"/>
      <c r="HD216" s="42"/>
      <c r="HE216" s="42"/>
    </row>
    <row r="217" spans="14:213" x14ac:dyDescent="0.2"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  <c r="DN217" s="42"/>
      <c r="DO217" s="42"/>
      <c r="DP217" s="42"/>
      <c r="DQ217" s="42"/>
      <c r="DR217" s="42"/>
      <c r="DS217" s="42"/>
      <c r="DT217" s="42"/>
      <c r="DU217" s="42"/>
      <c r="DV217" s="42"/>
      <c r="DW217" s="42"/>
      <c r="DX217" s="42"/>
      <c r="DY217" s="42"/>
      <c r="DZ217" s="42"/>
      <c r="EA217" s="42"/>
      <c r="EB217" s="42"/>
      <c r="EC217" s="42"/>
      <c r="ED217" s="42"/>
      <c r="EE217" s="42"/>
      <c r="EF217" s="42"/>
      <c r="EG217" s="42"/>
      <c r="EH217" s="42"/>
      <c r="EI217" s="42"/>
      <c r="EJ217" s="42"/>
      <c r="EK217" s="42"/>
      <c r="EL217" s="42"/>
      <c r="EM217" s="42"/>
      <c r="EN217" s="42"/>
      <c r="EO217" s="42"/>
      <c r="EP217" s="42"/>
      <c r="EQ217" s="42"/>
      <c r="ER217" s="42"/>
      <c r="ES217" s="42"/>
      <c r="ET217" s="42"/>
      <c r="EU217" s="42"/>
      <c r="EV217" s="42"/>
      <c r="EW217" s="42"/>
      <c r="EX217" s="42"/>
      <c r="EY217" s="42"/>
      <c r="EZ217" s="42"/>
      <c r="FA217" s="42"/>
      <c r="FB217" s="42"/>
      <c r="FC217" s="42"/>
      <c r="FD217" s="42"/>
      <c r="FE217" s="42"/>
      <c r="FF217" s="42"/>
      <c r="FG217" s="42"/>
      <c r="FH217" s="42"/>
      <c r="FI217" s="42"/>
      <c r="FJ217" s="42"/>
      <c r="FK217" s="42"/>
      <c r="FL217" s="42"/>
      <c r="FM217" s="42"/>
      <c r="FN217" s="42"/>
      <c r="FO217" s="42"/>
      <c r="FP217" s="42"/>
      <c r="FQ217" s="42"/>
      <c r="FR217" s="42"/>
      <c r="FS217" s="42"/>
      <c r="FT217" s="42"/>
      <c r="FU217" s="42"/>
      <c r="FV217" s="42"/>
      <c r="FW217" s="42"/>
      <c r="FX217" s="42"/>
      <c r="FY217" s="42"/>
      <c r="FZ217" s="42"/>
      <c r="GA217" s="42"/>
      <c r="GB217" s="42"/>
      <c r="GC217" s="42"/>
      <c r="GD217" s="42"/>
      <c r="GE217" s="42"/>
      <c r="GF217" s="42"/>
      <c r="GG217" s="42"/>
      <c r="GH217" s="42"/>
      <c r="GI217" s="42"/>
      <c r="GJ217" s="42"/>
      <c r="GK217" s="42"/>
      <c r="GL217" s="42"/>
      <c r="GM217" s="42"/>
      <c r="GN217" s="42"/>
      <c r="GO217" s="42"/>
      <c r="GP217" s="42"/>
      <c r="GQ217" s="42"/>
      <c r="GR217" s="42"/>
      <c r="GS217" s="42"/>
      <c r="GT217" s="42"/>
      <c r="GU217" s="42"/>
      <c r="GV217" s="42"/>
      <c r="GW217" s="42"/>
      <c r="GX217" s="42"/>
      <c r="GY217" s="42"/>
      <c r="GZ217" s="42"/>
      <c r="HA217" s="42"/>
      <c r="HB217" s="42"/>
      <c r="HC217" s="42"/>
      <c r="HD217" s="42"/>
      <c r="HE217" s="42"/>
    </row>
    <row r="218" spans="14:213" x14ac:dyDescent="0.2"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2"/>
      <c r="EJ218" s="42"/>
      <c r="EK218" s="42"/>
      <c r="EL218" s="42"/>
      <c r="EM218" s="42"/>
      <c r="EN218" s="42"/>
      <c r="EO218" s="42"/>
      <c r="EP218" s="42"/>
      <c r="EQ218" s="42"/>
      <c r="ER218" s="42"/>
      <c r="ES218" s="42"/>
      <c r="ET218" s="42"/>
      <c r="EU218" s="42"/>
      <c r="EV218" s="42"/>
      <c r="EW218" s="42"/>
      <c r="EX218" s="42"/>
      <c r="EY218" s="42"/>
      <c r="EZ218" s="42"/>
      <c r="FA218" s="42"/>
      <c r="FB218" s="42"/>
      <c r="FC218" s="42"/>
      <c r="FD218" s="42"/>
      <c r="FE218" s="42"/>
      <c r="FF218" s="42"/>
      <c r="FG218" s="42"/>
      <c r="FH218" s="42"/>
      <c r="FI218" s="42"/>
      <c r="FJ218" s="42"/>
      <c r="FK218" s="42"/>
      <c r="FL218" s="42"/>
      <c r="FM218" s="42"/>
      <c r="FN218" s="42"/>
      <c r="FO218" s="42"/>
      <c r="FP218" s="42"/>
      <c r="FQ218" s="42"/>
      <c r="FR218" s="42"/>
      <c r="FS218" s="42"/>
      <c r="FT218" s="42"/>
      <c r="FU218" s="42"/>
      <c r="FV218" s="42"/>
      <c r="FW218" s="42"/>
      <c r="FX218" s="42"/>
      <c r="FY218" s="42"/>
      <c r="FZ218" s="42"/>
      <c r="GA218" s="42"/>
      <c r="GB218" s="42"/>
      <c r="GC218" s="42"/>
      <c r="GD218" s="42"/>
      <c r="GE218" s="42"/>
      <c r="GF218" s="42"/>
      <c r="GG218" s="42"/>
      <c r="GH218" s="42"/>
      <c r="GI218" s="42"/>
      <c r="GJ218" s="42"/>
      <c r="GK218" s="42"/>
      <c r="GL218" s="42"/>
      <c r="GM218" s="42"/>
      <c r="GN218" s="42"/>
      <c r="GO218" s="42"/>
      <c r="GP218" s="42"/>
      <c r="GQ218" s="42"/>
      <c r="GR218" s="42"/>
      <c r="GS218" s="42"/>
      <c r="GT218" s="42"/>
      <c r="GU218" s="42"/>
      <c r="GV218" s="42"/>
      <c r="GW218" s="42"/>
      <c r="GX218" s="42"/>
      <c r="GY218" s="42"/>
      <c r="GZ218" s="42"/>
      <c r="HA218" s="42"/>
      <c r="HB218" s="42"/>
      <c r="HC218" s="42"/>
      <c r="HD218" s="42"/>
      <c r="HE218" s="42"/>
    </row>
    <row r="219" spans="14:213" x14ac:dyDescent="0.2"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  <c r="DT219" s="42"/>
      <c r="DU219" s="42"/>
      <c r="DV219" s="42"/>
      <c r="DW219" s="42"/>
      <c r="DX219" s="42"/>
      <c r="DY219" s="42"/>
      <c r="DZ219" s="42"/>
      <c r="EA219" s="42"/>
      <c r="EB219" s="42"/>
      <c r="EC219" s="42"/>
      <c r="ED219" s="42"/>
      <c r="EE219" s="42"/>
      <c r="EF219" s="42"/>
      <c r="EG219" s="42"/>
      <c r="EH219" s="42"/>
      <c r="EI219" s="42"/>
      <c r="EJ219" s="42"/>
      <c r="EK219" s="42"/>
      <c r="EL219" s="42"/>
      <c r="EM219" s="42"/>
      <c r="EN219" s="42"/>
      <c r="EO219" s="42"/>
      <c r="EP219" s="42"/>
      <c r="EQ219" s="42"/>
      <c r="ER219" s="42"/>
      <c r="ES219" s="42"/>
      <c r="ET219" s="42"/>
      <c r="EU219" s="42"/>
      <c r="EV219" s="42"/>
      <c r="EW219" s="42"/>
      <c r="EX219" s="42"/>
      <c r="EY219" s="42"/>
      <c r="EZ219" s="42"/>
      <c r="FA219" s="42"/>
      <c r="FB219" s="42"/>
      <c r="FC219" s="42"/>
      <c r="FD219" s="42"/>
      <c r="FE219" s="42"/>
      <c r="FF219" s="42"/>
      <c r="FG219" s="42"/>
      <c r="FH219" s="42"/>
      <c r="FI219" s="42"/>
      <c r="FJ219" s="42"/>
      <c r="FK219" s="42"/>
      <c r="FL219" s="42"/>
      <c r="FM219" s="42"/>
      <c r="FN219" s="42"/>
      <c r="FO219" s="42"/>
      <c r="FP219" s="42"/>
      <c r="FQ219" s="42"/>
      <c r="FR219" s="42"/>
      <c r="FS219" s="42"/>
      <c r="FT219" s="42"/>
      <c r="FU219" s="42"/>
      <c r="FV219" s="42"/>
      <c r="FW219" s="42"/>
      <c r="FX219" s="42"/>
      <c r="FY219" s="42"/>
      <c r="FZ219" s="42"/>
      <c r="GA219" s="42"/>
      <c r="GB219" s="42"/>
      <c r="GC219" s="42"/>
      <c r="GD219" s="42"/>
      <c r="GE219" s="42"/>
      <c r="GF219" s="42"/>
      <c r="GG219" s="42"/>
      <c r="GH219" s="42"/>
      <c r="GI219" s="42"/>
      <c r="GJ219" s="42"/>
      <c r="GK219" s="42"/>
      <c r="GL219" s="42"/>
      <c r="GM219" s="42"/>
      <c r="GN219" s="42"/>
      <c r="GO219" s="42"/>
      <c r="GP219" s="42"/>
      <c r="GQ219" s="42"/>
      <c r="GR219" s="42"/>
      <c r="GS219" s="42"/>
      <c r="GT219" s="42"/>
      <c r="GU219" s="42"/>
      <c r="GV219" s="42"/>
      <c r="GW219" s="42"/>
      <c r="GX219" s="42"/>
      <c r="GY219" s="42"/>
      <c r="GZ219" s="42"/>
      <c r="HA219" s="42"/>
      <c r="HB219" s="42"/>
      <c r="HC219" s="42"/>
      <c r="HD219" s="42"/>
      <c r="HE219" s="42"/>
    </row>
    <row r="220" spans="14:213" x14ac:dyDescent="0.2"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  <c r="DN220" s="42"/>
      <c r="DO220" s="42"/>
      <c r="DP220" s="42"/>
      <c r="DQ220" s="42"/>
      <c r="DR220" s="42"/>
      <c r="DS220" s="42"/>
      <c r="DT220" s="42"/>
      <c r="DU220" s="42"/>
      <c r="DV220" s="42"/>
      <c r="DW220" s="42"/>
      <c r="DX220" s="42"/>
      <c r="DY220" s="42"/>
      <c r="DZ220" s="42"/>
      <c r="EA220" s="42"/>
      <c r="EB220" s="42"/>
      <c r="EC220" s="42"/>
      <c r="ED220" s="42"/>
      <c r="EE220" s="42"/>
      <c r="EF220" s="42"/>
      <c r="EG220" s="42"/>
      <c r="EH220" s="42"/>
      <c r="EI220" s="42"/>
      <c r="EJ220" s="42"/>
      <c r="EK220" s="42"/>
      <c r="EL220" s="42"/>
      <c r="EM220" s="42"/>
      <c r="EN220" s="42"/>
      <c r="EO220" s="42"/>
      <c r="EP220" s="42"/>
      <c r="EQ220" s="42"/>
      <c r="ER220" s="42"/>
      <c r="ES220" s="42"/>
      <c r="ET220" s="42"/>
      <c r="EU220" s="42"/>
      <c r="EV220" s="42"/>
      <c r="EW220" s="42"/>
      <c r="EX220" s="42"/>
      <c r="EY220" s="42"/>
      <c r="EZ220" s="42"/>
      <c r="FA220" s="42"/>
      <c r="FB220" s="42"/>
      <c r="FC220" s="42"/>
      <c r="FD220" s="42"/>
      <c r="FE220" s="42"/>
      <c r="FF220" s="42"/>
      <c r="FG220" s="42"/>
      <c r="FH220" s="42"/>
      <c r="FI220" s="42"/>
      <c r="FJ220" s="42"/>
      <c r="FK220" s="42"/>
      <c r="FL220" s="42"/>
      <c r="FM220" s="42"/>
      <c r="FN220" s="42"/>
      <c r="FO220" s="42"/>
      <c r="FP220" s="42"/>
      <c r="FQ220" s="42"/>
      <c r="FR220" s="42"/>
      <c r="FS220" s="42"/>
      <c r="FT220" s="42"/>
      <c r="FU220" s="42"/>
      <c r="FV220" s="42"/>
      <c r="FW220" s="42"/>
      <c r="FX220" s="42"/>
      <c r="FY220" s="42"/>
      <c r="FZ220" s="42"/>
      <c r="GA220" s="42"/>
      <c r="GB220" s="42"/>
      <c r="GC220" s="42"/>
      <c r="GD220" s="42"/>
      <c r="GE220" s="42"/>
      <c r="GF220" s="42"/>
      <c r="GG220" s="42"/>
      <c r="GH220" s="42"/>
      <c r="GI220" s="42"/>
      <c r="GJ220" s="42"/>
      <c r="GK220" s="42"/>
      <c r="GL220" s="42"/>
      <c r="GM220" s="42"/>
      <c r="GN220" s="42"/>
      <c r="GO220" s="42"/>
      <c r="GP220" s="42"/>
      <c r="GQ220" s="42"/>
      <c r="GR220" s="42"/>
      <c r="GS220" s="42"/>
      <c r="GT220" s="42"/>
      <c r="GU220" s="42"/>
      <c r="GV220" s="42"/>
      <c r="GW220" s="42"/>
      <c r="GX220" s="42"/>
      <c r="GY220" s="42"/>
      <c r="GZ220" s="42"/>
      <c r="HA220" s="42"/>
      <c r="HB220" s="42"/>
      <c r="HC220" s="42"/>
      <c r="HD220" s="42"/>
      <c r="HE220" s="42"/>
    </row>
    <row r="221" spans="14:213" x14ac:dyDescent="0.2"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  <c r="DZ221" s="42"/>
      <c r="EA221" s="42"/>
      <c r="EB221" s="42"/>
      <c r="EC221" s="42"/>
      <c r="ED221" s="42"/>
      <c r="EE221" s="42"/>
      <c r="EF221" s="42"/>
      <c r="EG221" s="42"/>
      <c r="EH221" s="42"/>
      <c r="EI221" s="42"/>
      <c r="EJ221" s="42"/>
      <c r="EK221" s="42"/>
      <c r="EL221" s="42"/>
      <c r="EM221" s="42"/>
      <c r="EN221" s="42"/>
      <c r="EO221" s="42"/>
      <c r="EP221" s="42"/>
      <c r="EQ221" s="42"/>
      <c r="ER221" s="42"/>
      <c r="ES221" s="42"/>
      <c r="ET221" s="42"/>
      <c r="EU221" s="42"/>
      <c r="EV221" s="42"/>
      <c r="EW221" s="42"/>
      <c r="EX221" s="42"/>
      <c r="EY221" s="42"/>
      <c r="EZ221" s="42"/>
      <c r="FA221" s="42"/>
      <c r="FB221" s="42"/>
      <c r="FC221" s="42"/>
      <c r="FD221" s="42"/>
      <c r="FE221" s="42"/>
      <c r="FF221" s="42"/>
      <c r="FG221" s="42"/>
      <c r="FH221" s="42"/>
      <c r="FI221" s="42"/>
      <c r="FJ221" s="42"/>
      <c r="FK221" s="42"/>
      <c r="FL221" s="42"/>
      <c r="FM221" s="42"/>
      <c r="FN221" s="42"/>
      <c r="FO221" s="42"/>
      <c r="FP221" s="42"/>
      <c r="FQ221" s="42"/>
      <c r="FR221" s="42"/>
      <c r="FS221" s="42"/>
      <c r="FT221" s="42"/>
      <c r="FU221" s="42"/>
      <c r="FV221" s="42"/>
      <c r="FW221" s="42"/>
      <c r="FX221" s="42"/>
      <c r="FY221" s="42"/>
      <c r="FZ221" s="42"/>
      <c r="GA221" s="42"/>
      <c r="GB221" s="42"/>
      <c r="GC221" s="42"/>
      <c r="GD221" s="42"/>
      <c r="GE221" s="42"/>
      <c r="GF221" s="42"/>
      <c r="GG221" s="42"/>
      <c r="GH221" s="42"/>
      <c r="GI221" s="42"/>
      <c r="GJ221" s="42"/>
      <c r="GK221" s="42"/>
      <c r="GL221" s="42"/>
      <c r="GM221" s="42"/>
      <c r="GN221" s="42"/>
      <c r="GO221" s="42"/>
      <c r="GP221" s="42"/>
      <c r="GQ221" s="42"/>
      <c r="GR221" s="42"/>
      <c r="GS221" s="42"/>
      <c r="GT221" s="42"/>
      <c r="GU221" s="42"/>
      <c r="GV221" s="42"/>
      <c r="GW221" s="42"/>
      <c r="GX221" s="42"/>
      <c r="GY221" s="42"/>
      <c r="GZ221" s="42"/>
      <c r="HA221" s="42"/>
      <c r="HB221" s="42"/>
      <c r="HC221" s="42"/>
      <c r="HD221" s="42"/>
      <c r="HE221" s="42"/>
    </row>
    <row r="222" spans="14:213" x14ac:dyDescent="0.2"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</row>
    <row r="223" spans="14:213" x14ac:dyDescent="0.2"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42"/>
      <c r="GN223" s="42"/>
      <c r="GO223" s="42"/>
      <c r="GP223" s="42"/>
      <c r="GQ223" s="42"/>
      <c r="GR223" s="42"/>
      <c r="GS223" s="42"/>
      <c r="GT223" s="42"/>
      <c r="GU223" s="42"/>
      <c r="GV223" s="42"/>
      <c r="GW223" s="42"/>
      <c r="GX223" s="42"/>
      <c r="GY223" s="42"/>
      <c r="GZ223" s="42"/>
      <c r="HA223" s="42"/>
      <c r="HB223" s="42"/>
      <c r="HC223" s="42"/>
      <c r="HD223" s="42"/>
      <c r="HE223" s="42"/>
    </row>
    <row r="224" spans="14:213" x14ac:dyDescent="0.2"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  <c r="GJ224" s="42"/>
      <c r="GK224" s="42"/>
      <c r="GL224" s="42"/>
      <c r="GM224" s="42"/>
      <c r="GN224" s="42"/>
      <c r="GO224" s="42"/>
      <c r="GP224" s="42"/>
      <c r="GQ224" s="42"/>
      <c r="GR224" s="42"/>
      <c r="GS224" s="42"/>
      <c r="GT224" s="42"/>
      <c r="GU224" s="42"/>
      <c r="GV224" s="42"/>
      <c r="GW224" s="42"/>
      <c r="GX224" s="42"/>
      <c r="GY224" s="42"/>
      <c r="GZ224" s="42"/>
      <c r="HA224" s="42"/>
      <c r="HB224" s="42"/>
      <c r="HC224" s="42"/>
      <c r="HD224" s="42"/>
      <c r="HE224" s="42"/>
    </row>
    <row r="225" spans="14:213" x14ac:dyDescent="0.2"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  <c r="FO225" s="42"/>
      <c r="FP225" s="42"/>
      <c r="FQ225" s="42"/>
      <c r="FR225" s="42"/>
      <c r="FS225" s="42"/>
      <c r="FT225" s="42"/>
      <c r="FU225" s="42"/>
      <c r="FV225" s="42"/>
      <c r="FW225" s="42"/>
      <c r="FX225" s="42"/>
      <c r="FY225" s="42"/>
      <c r="FZ225" s="42"/>
      <c r="GA225" s="42"/>
      <c r="GB225" s="42"/>
      <c r="GC225" s="42"/>
      <c r="GD225" s="42"/>
      <c r="GE225" s="42"/>
      <c r="GF225" s="42"/>
      <c r="GG225" s="42"/>
      <c r="GH225" s="42"/>
      <c r="GI225" s="42"/>
      <c r="GJ225" s="42"/>
      <c r="GK225" s="42"/>
      <c r="GL225" s="42"/>
      <c r="GM225" s="42"/>
      <c r="GN225" s="42"/>
      <c r="GO225" s="42"/>
      <c r="GP225" s="42"/>
      <c r="GQ225" s="42"/>
      <c r="GR225" s="42"/>
      <c r="GS225" s="42"/>
      <c r="GT225" s="42"/>
      <c r="GU225" s="42"/>
      <c r="GV225" s="42"/>
      <c r="GW225" s="42"/>
      <c r="GX225" s="42"/>
      <c r="GY225" s="42"/>
      <c r="GZ225" s="42"/>
      <c r="HA225" s="42"/>
      <c r="HB225" s="42"/>
      <c r="HC225" s="42"/>
      <c r="HD225" s="42"/>
      <c r="HE225" s="42"/>
    </row>
    <row r="226" spans="14:213" x14ac:dyDescent="0.2"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  <c r="DB226" s="42"/>
      <c r="DC226" s="42"/>
      <c r="DD226" s="42"/>
      <c r="DE226" s="42"/>
      <c r="DF226" s="42"/>
      <c r="DG226" s="42"/>
      <c r="DH226" s="42"/>
      <c r="DI226" s="42"/>
      <c r="DJ226" s="42"/>
      <c r="DK226" s="42"/>
      <c r="DL226" s="42"/>
      <c r="DM226" s="42"/>
      <c r="DN226" s="42"/>
      <c r="DO226" s="42"/>
      <c r="DP226" s="42"/>
      <c r="DQ226" s="42"/>
      <c r="DR226" s="42"/>
      <c r="DS226" s="42"/>
      <c r="DT226" s="42"/>
      <c r="DU226" s="42"/>
      <c r="DV226" s="42"/>
      <c r="DW226" s="42"/>
      <c r="DX226" s="42"/>
      <c r="DY226" s="42"/>
      <c r="DZ226" s="42"/>
      <c r="EA226" s="42"/>
      <c r="EB226" s="42"/>
      <c r="EC226" s="42"/>
      <c r="ED226" s="42"/>
      <c r="EE226" s="42"/>
      <c r="EF226" s="42"/>
      <c r="EG226" s="42"/>
      <c r="EH226" s="42"/>
      <c r="EI226" s="42"/>
      <c r="EJ226" s="42"/>
      <c r="EK226" s="42"/>
      <c r="EL226" s="42"/>
      <c r="EM226" s="42"/>
      <c r="EN226" s="42"/>
      <c r="EO226" s="42"/>
      <c r="EP226" s="42"/>
      <c r="EQ226" s="42"/>
      <c r="ER226" s="42"/>
      <c r="ES226" s="42"/>
      <c r="ET226" s="42"/>
      <c r="EU226" s="42"/>
      <c r="EV226" s="42"/>
      <c r="EW226" s="42"/>
      <c r="EX226" s="42"/>
      <c r="EY226" s="42"/>
      <c r="EZ226" s="42"/>
      <c r="FA226" s="42"/>
      <c r="FB226" s="42"/>
      <c r="FC226" s="42"/>
      <c r="FD226" s="42"/>
      <c r="FE226" s="42"/>
      <c r="FF226" s="42"/>
      <c r="FG226" s="42"/>
      <c r="FH226" s="42"/>
      <c r="FI226" s="42"/>
      <c r="FJ226" s="42"/>
      <c r="FK226" s="42"/>
      <c r="FL226" s="42"/>
      <c r="FM226" s="42"/>
      <c r="FN226" s="42"/>
      <c r="FO226" s="42"/>
      <c r="FP226" s="42"/>
      <c r="FQ226" s="42"/>
      <c r="FR226" s="42"/>
      <c r="FS226" s="42"/>
      <c r="FT226" s="42"/>
      <c r="FU226" s="42"/>
      <c r="FV226" s="42"/>
      <c r="FW226" s="42"/>
      <c r="FX226" s="42"/>
      <c r="FY226" s="42"/>
      <c r="FZ226" s="42"/>
      <c r="GA226" s="42"/>
      <c r="GB226" s="42"/>
      <c r="GC226" s="42"/>
      <c r="GD226" s="42"/>
      <c r="GE226" s="42"/>
      <c r="GF226" s="42"/>
      <c r="GG226" s="42"/>
      <c r="GH226" s="42"/>
      <c r="GI226" s="42"/>
      <c r="GJ226" s="42"/>
      <c r="GK226" s="42"/>
      <c r="GL226" s="42"/>
      <c r="GM226" s="42"/>
      <c r="GN226" s="42"/>
      <c r="GO226" s="42"/>
      <c r="GP226" s="42"/>
      <c r="GQ226" s="42"/>
      <c r="GR226" s="42"/>
      <c r="GS226" s="42"/>
      <c r="GT226" s="42"/>
      <c r="GU226" s="42"/>
      <c r="GV226" s="42"/>
      <c r="GW226" s="42"/>
      <c r="GX226" s="42"/>
      <c r="GY226" s="42"/>
      <c r="GZ226" s="42"/>
      <c r="HA226" s="42"/>
      <c r="HB226" s="42"/>
      <c r="HC226" s="42"/>
      <c r="HD226" s="42"/>
      <c r="HE226" s="42"/>
    </row>
    <row r="227" spans="14:213" x14ac:dyDescent="0.2"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  <c r="FO227" s="42"/>
      <c r="FP227" s="42"/>
      <c r="FQ227" s="42"/>
      <c r="FR227" s="42"/>
      <c r="FS227" s="42"/>
      <c r="FT227" s="42"/>
      <c r="FU227" s="42"/>
      <c r="FV227" s="42"/>
      <c r="FW227" s="42"/>
      <c r="FX227" s="42"/>
      <c r="FY227" s="42"/>
      <c r="FZ227" s="42"/>
      <c r="GA227" s="42"/>
      <c r="GB227" s="42"/>
      <c r="GC227" s="42"/>
      <c r="GD227" s="42"/>
      <c r="GE227" s="42"/>
      <c r="GF227" s="42"/>
      <c r="GG227" s="42"/>
      <c r="GH227" s="42"/>
      <c r="GI227" s="42"/>
      <c r="GJ227" s="42"/>
      <c r="GK227" s="42"/>
      <c r="GL227" s="42"/>
      <c r="GM227" s="42"/>
      <c r="GN227" s="42"/>
      <c r="GO227" s="42"/>
      <c r="GP227" s="42"/>
      <c r="GQ227" s="42"/>
      <c r="GR227" s="42"/>
      <c r="GS227" s="42"/>
      <c r="GT227" s="42"/>
      <c r="GU227" s="42"/>
      <c r="GV227" s="42"/>
      <c r="GW227" s="42"/>
      <c r="GX227" s="42"/>
      <c r="GY227" s="42"/>
      <c r="GZ227" s="42"/>
      <c r="HA227" s="42"/>
      <c r="HB227" s="42"/>
      <c r="HC227" s="42"/>
      <c r="HD227" s="42"/>
      <c r="HE227" s="42"/>
    </row>
    <row r="228" spans="14:213" x14ac:dyDescent="0.2"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  <c r="DG228" s="42"/>
      <c r="DH228" s="42"/>
      <c r="DI228" s="42"/>
      <c r="DJ228" s="42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  <c r="DZ228" s="42"/>
      <c r="EA228" s="42"/>
      <c r="EB228" s="42"/>
      <c r="EC228" s="42"/>
      <c r="ED228" s="42"/>
      <c r="EE228" s="42"/>
      <c r="EF228" s="42"/>
      <c r="EG228" s="42"/>
      <c r="EH228" s="42"/>
      <c r="EI228" s="42"/>
      <c r="EJ228" s="42"/>
      <c r="EK228" s="42"/>
      <c r="EL228" s="42"/>
      <c r="EM228" s="42"/>
      <c r="EN228" s="42"/>
      <c r="EO228" s="42"/>
      <c r="EP228" s="42"/>
      <c r="EQ228" s="42"/>
      <c r="ER228" s="42"/>
      <c r="ES228" s="42"/>
      <c r="ET228" s="42"/>
      <c r="EU228" s="42"/>
      <c r="EV228" s="42"/>
      <c r="EW228" s="42"/>
      <c r="EX228" s="42"/>
      <c r="EY228" s="42"/>
      <c r="EZ228" s="42"/>
      <c r="FA228" s="42"/>
      <c r="FB228" s="42"/>
      <c r="FC228" s="42"/>
      <c r="FD228" s="42"/>
      <c r="FE228" s="42"/>
      <c r="FF228" s="42"/>
      <c r="FG228" s="42"/>
      <c r="FH228" s="42"/>
      <c r="FI228" s="42"/>
      <c r="FJ228" s="42"/>
      <c r="FK228" s="42"/>
      <c r="FL228" s="42"/>
      <c r="FM228" s="42"/>
      <c r="FN228" s="42"/>
      <c r="FO228" s="42"/>
      <c r="FP228" s="42"/>
      <c r="FQ228" s="42"/>
      <c r="FR228" s="42"/>
      <c r="FS228" s="42"/>
      <c r="FT228" s="42"/>
      <c r="FU228" s="42"/>
      <c r="FV228" s="42"/>
      <c r="FW228" s="42"/>
      <c r="FX228" s="42"/>
      <c r="FY228" s="42"/>
      <c r="FZ228" s="42"/>
      <c r="GA228" s="42"/>
      <c r="GB228" s="42"/>
      <c r="GC228" s="42"/>
      <c r="GD228" s="42"/>
      <c r="GE228" s="42"/>
      <c r="GF228" s="42"/>
      <c r="GG228" s="42"/>
      <c r="GH228" s="42"/>
      <c r="GI228" s="42"/>
      <c r="GJ228" s="42"/>
      <c r="GK228" s="42"/>
      <c r="GL228" s="42"/>
      <c r="GM228" s="42"/>
      <c r="GN228" s="42"/>
      <c r="GO228" s="42"/>
      <c r="GP228" s="42"/>
      <c r="GQ228" s="42"/>
      <c r="GR228" s="42"/>
      <c r="GS228" s="42"/>
      <c r="GT228" s="42"/>
      <c r="GU228" s="42"/>
      <c r="GV228" s="42"/>
      <c r="GW228" s="42"/>
      <c r="GX228" s="42"/>
      <c r="GY228" s="42"/>
      <c r="GZ228" s="42"/>
      <c r="HA228" s="42"/>
      <c r="HB228" s="42"/>
      <c r="HC228" s="42"/>
      <c r="HD228" s="42"/>
      <c r="HE228" s="42"/>
    </row>
    <row r="229" spans="14:213" x14ac:dyDescent="0.2"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  <c r="DG229" s="42"/>
      <c r="DH229" s="42"/>
      <c r="DI229" s="42"/>
      <c r="DJ229" s="42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  <c r="DZ229" s="42"/>
      <c r="EA229" s="42"/>
      <c r="EB229" s="42"/>
      <c r="EC229" s="42"/>
      <c r="ED229" s="42"/>
      <c r="EE229" s="42"/>
      <c r="EF229" s="42"/>
      <c r="EG229" s="42"/>
      <c r="EH229" s="42"/>
      <c r="EI229" s="42"/>
      <c r="EJ229" s="42"/>
      <c r="EK229" s="42"/>
      <c r="EL229" s="42"/>
      <c r="EM229" s="42"/>
      <c r="EN229" s="42"/>
      <c r="EO229" s="42"/>
      <c r="EP229" s="42"/>
      <c r="EQ229" s="42"/>
      <c r="ER229" s="42"/>
      <c r="ES229" s="42"/>
      <c r="ET229" s="42"/>
      <c r="EU229" s="42"/>
      <c r="EV229" s="42"/>
      <c r="EW229" s="42"/>
      <c r="EX229" s="42"/>
      <c r="EY229" s="42"/>
      <c r="EZ229" s="42"/>
      <c r="FA229" s="42"/>
      <c r="FB229" s="42"/>
      <c r="FC229" s="42"/>
      <c r="FD229" s="42"/>
      <c r="FE229" s="42"/>
      <c r="FF229" s="42"/>
      <c r="FG229" s="42"/>
      <c r="FH229" s="42"/>
      <c r="FI229" s="42"/>
      <c r="FJ229" s="42"/>
      <c r="FK229" s="42"/>
      <c r="FL229" s="42"/>
      <c r="FM229" s="42"/>
      <c r="FN229" s="42"/>
      <c r="FO229" s="42"/>
      <c r="FP229" s="42"/>
      <c r="FQ229" s="42"/>
      <c r="FR229" s="42"/>
      <c r="FS229" s="42"/>
      <c r="FT229" s="42"/>
      <c r="FU229" s="42"/>
      <c r="FV229" s="42"/>
      <c r="FW229" s="42"/>
      <c r="FX229" s="42"/>
      <c r="FY229" s="42"/>
      <c r="FZ229" s="42"/>
      <c r="GA229" s="42"/>
      <c r="GB229" s="42"/>
      <c r="GC229" s="42"/>
      <c r="GD229" s="42"/>
      <c r="GE229" s="42"/>
      <c r="GF229" s="42"/>
      <c r="GG229" s="42"/>
      <c r="GH229" s="42"/>
      <c r="GI229" s="42"/>
      <c r="GJ229" s="42"/>
      <c r="GK229" s="42"/>
      <c r="GL229" s="42"/>
      <c r="GM229" s="42"/>
      <c r="GN229" s="42"/>
      <c r="GO229" s="42"/>
      <c r="GP229" s="42"/>
      <c r="GQ229" s="42"/>
      <c r="GR229" s="42"/>
      <c r="GS229" s="42"/>
      <c r="GT229" s="42"/>
      <c r="GU229" s="42"/>
      <c r="GV229" s="42"/>
      <c r="GW229" s="42"/>
      <c r="GX229" s="42"/>
      <c r="GY229" s="42"/>
      <c r="GZ229" s="42"/>
      <c r="HA229" s="42"/>
      <c r="HB229" s="42"/>
      <c r="HC229" s="42"/>
      <c r="HD229" s="42"/>
      <c r="HE229" s="42"/>
    </row>
    <row r="230" spans="14:213" x14ac:dyDescent="0.2"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  <c r="DG230" s="42"/>
      <c r="DH230" s="42"/>
      <c r="DI230" s="42"/>
      <c r="DJ230" s="42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  <c r="EN230" s="42"/>
      <c r="EO230" s="42"/>
      <c r="EP230" s="42"/>
      <c r="EQ230" s="42"/>
      <c r="ER230" s="42"/>
      <c r="ES230" s="42"/>
      <c r="ET230" s="42"/>
      <c r="EU230" s="42"/>
      <c r="EV230" s="42"/>
      <c r="EW230" s="42"/>
      <c r="EX230" s="42"/>
      <c r="EY230" s="42"/>
      <c r="EZ230" s="42"/>
      <c r="FA230" s="42"/>
      <c r="FB230" s="42"/>
      <c r="FC230" s="42"/>
      <c r="FD230" s="42"/>
      <c r="FE230" s="42"/>
      <c r="FF230" s="42"/>
      <c r="FG230" s="42"/>
      <c r="FH230" s="42"/>
      <c r="FI230" s="42"/>
      <c r="FJ230" s="42"/>
      <c r="FK230" s="42"/>
      <c r="FL230" s="42"/>
      <c r="FM230" s="42"/>
      <c r="FN230" s="42"/>
      <c r="FO230" s="42"/>
      <c r="FP230" s="42"/>
      <c r="FQ230" s="42"/>
      <c r="FR230" s="42"/>
      <c r="FS230" s="42"/>
      <c r="FT230" s="42"/>
      <c r="FU230" s="42"/>
      <c r="FV230" s="42"/>
      <c r="FW230" s="42"/>
      <c r="FX230" s="42"/>
      <c r="FY230" s="42"/>
      <c r="FZ230" s="42"/>
      <c r="GA230" s="42"/>
      <c r="GB230" s="42"/>
      <c r="GC230" s="42"/>
      <c r="GD230" s="42"/>
      <c r="GE230" s="42"/>
      <c r="GF230" s="42"/>
      <c r="GG230" s="42"/>
      <c r="GH230" s="42"/>
      <c r="GI230" s="42"/>
      <c r="GJ230" s="42"/>
      <c r="GK230" s="42"/>
      <c r="GL230" s="42"/>
      <c r="GM230" s="42"/>
      <c r="GN230" s="42"/>
      <c r="GO230" s="42"/>
      <c r="GP230" s="42"/>
      <c r="GQ230" s="42"/>
      <c r="GR230" s="42"/>
      <c r="GS230" s="42"/>
      <c r="GT230" s="42"/>
      <c r="GU230" s="42"/>
      <c r="GV230" s="42"/>
      <c r="GW230" s="42"/>
      <c r="GX230" s="42"/>
      <c r="GY230" s="42"/>
      <c r="GZ230" s="42"/>
      <c r="HA230" s="42"/>
      <c r="HB230" s="42"/>
      <c r="HC230" s="42"/>
      <c r="HD230" s="42"/>
      <c r="HE230" s="42"/>
    </row>
    <row r="231" spans="14:213" x14ac:dyDescent="0.2"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/>
      <c r="DW231" s="42"/>
      <c r="DX231" s="42"/>
      <c r="DY231" s="42"/>
      <c r="DZ231" s="42"/>
      <c r="EA231" s="42"/>
      <c r="EB231" s="42"/>
      <c r="EC231" s="42"/>
      <c r="ED231" s="42"/>
      <c r="EE231" s="42"/>
      <c r="EF231" s="42"/>
      <c r="EG231" s="42"/>
      <c r="EH231" s="42"/>
      <c r="EI231" s="42"/>
      <c r="EJ231" s="42"/>
      <c r="EK231" s="42"/>
      <c r="EL231" s="42"/>
      <c r="EM231" s="42"/>
      <c r="EN231" s="42"/>
      <c r="EO231" s="42"/>
      <c r="EP231" s="42"/>
      <c r="EQ231" s="42"/>
      <c r="ER231" s="42"/>
      <c r="ES231" s="42"/>
      <c r="ET231" s="42"/>
      <c r="EU231" s="42"/>
      <c r="EV231" s="42"/>
      <c r="EW231" s="42"/>
      <c r="EX231" s="42"/>
      <c r="EY231" s="42"/>
      <c r="EZ231" s="42"/>
      <c r="FA231" s="42"/>
      <c r="FB231" s="42"/>
      <c r="FC231" s="42"/>
      <c r="FD231" s="42"/>
      <c r="FE231" s="42"/>
      <c r="FF231" s="42"/>
      <c r="FG231" s="42"/>
      <c r="FH231" s="42"/>
      <c r="FI231" s="42"/>
      <c r="FJ231" s="42"/>
      <c r="FK231" s="42"/>
      <c r="FL231" s="42"/>
      <c r="FM231" s="42"/>
      <c r="FN231" s="42"/>
      <c r="FO231" s="42"/>
      <c r="FP231" s="42"/>
      <c r="FQ231" s="42"/>
      <c r="FR231" s="42"/>
      <c r="FS231" s="42"/>
      <c r="FT231" s="42"/>
      <c r="FU231" s="42"/>
      <c r="FV231" s="42"/>
      <c r="FW231" s="42"/>
      <c r="FX231" s="42"/>
      <c r="FY231" s="42"/>
      <c r="FZ231" s="42"/>
      <c r="GA231" s="42"/>
      <c r="GB231" s="42"/>
      <c r="GC231" s="42"/>
      <c r="GD231" s="42"/>
      <c r="GE231" s="42"/>
      <c r="GF231" s="42"/>
      <c r="GG231" s="42"/>
      <c r="GH231" s="42"/>
      <c r="GI231" s="42"/>
      <c r="GJ231" s="42"/>
      <c r="GK231" s="42"/>
      <c r="GL231" s="42"/>
      <c r="GM231" s="42"/>
      <c r="GN231" s="42"/>
      <c r="GO231" s="42"/>
      <c r="GP231" s="42"/>
      <c r="GQ231" s="42"/>
      <c r="GR231" s="42"/>
      <c r="GS231" s="42"/>
      <c r="GT231" s="42"/>
      <c r="GU231" s="42"/>
      <c r="GV231" s="42"/>
      <c r="GW231" s="42"/>
      <c r="GX231" s="42"/>
      <c r="GY231" s="42"/>
      <c r="GZ231" s="42"/>
      <c r="HA231" s="42"/>
      <c r="HB231" s="42"/>
      <c r="HC231" s="42"/>
      <c r="HD231" s="42"/>
      <c r="HE231" s="42"/>
    </row>
    <row r="232" spans="14:213" x14ac:dyDescent="0.2"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  <c r="DT232" s="42"/>
      <c r="DU232" s="42"/>
      <c r="DV232" s="42"/>
      <c r="DW232" s="42"/>
      <c r="DX232" s="42"/>
      <c r="DY232" s="42"/>
      <c r="DZ232" s="42"/>
      <c r="EA232" s="42"/>
      <c r="EB232" s="42"/>
      <c r="EC232" s="42"/>
      <c r="ED232" s="42"/>
      <c r="EE232" s="42"/>
      <c r="EF232" s="42"/>
      <c r="EG232" s="42"/>
      <c r="EH232" s="42"/>
      <c r="EI232" s="42"/>
      <c r="EJ232" s="42"/>
      <c r="EK232" s="42"/>
      <c r="EL232" s="42"/>
      <c r="EM232" s="42"/>
      <c r="EN232" s="42"/>
      <c r="EO232" s="42"/>
      <c r="EP232" s="42"/>
      <c r="EQ232" s="42"/>
      <c r="ER232" s="42"/>
      <c r="ES232" s="42"/>
      <c r="ET232" s="42"/>
      <c r="EU232" s="42"/>
      <c r="EV232" s="42"/>
      <c r="EW232" s="42"/>
      <c r="EX232" s="42"/>
      <c r="EY232" s="42"/>
      <c r="EZ232" s="42"/>
      <c r="FA232" s="42"/>
      <c r="FB232" s="42"/>
      <c r="FC232" s="42"/>
      <c r="FD232" s="42"/>
      <c r="FE232" s="42"/>
      <c r="FF232" s="42"/>
      <c r="FG232" s="42"/>
      <c r="FH232" s="42"/>
      <c r="FI232" s="42"/>
      <c r="FJ232" s="42"/>
      <c r="FK232" s="42"/>
      <c r="FL232" s="42"/>
      <c r="FM232" s="42"/>
      <c r="FN232" s="42"/>
      <c r="FO232" s="42"/>
      <c r="FP232" s="42"/>
      <c r="FQ232" s="42"/>
      <c r="FR232" s="42"/>
      <c r="FS232" s="42"/>
      <c r="FT232" s="42"/>
      <c r="FU232" s="42"/>
      <c r="FV232" s="42"/>
      <c r="FW232" s="42"/>
      <c r="FX232" s="42"/>
      <c r="FY232" s="42"/>
      <c r="FZ232" s="42"/>
      <c r="GA232" s="42"/>
      <c r="GB232" s="42"/>
      <c r="GC232" s="42"/>
      <c r="GD232" s="42"/>
      <c r="GE232" s="42"/>
      <c r="GF232" s="42"/>
      <c r="GG232" s="42"/>
      <c r="GH232" s="42"/>
      <c r="GI232" s="42"/>
      <c r="GJ232" s="42"/>
      <c r="GK232" s="42"/>
      <c r="GL232" s="42"/>
      <c r="GM232" s="42"/>
      <c r="GN232" s="42"/>
      <c r="GO232" s="42"/>
      <c r="GP232" s="42"/>
      <c r="GQ232" s="42"/>
      <c r="GR232" s="42"/>
      <c r="GS232" s="42"/>
      <c r="GT232" s="42"/>
      <c r="GU232" s="42"/>
      <c r="GV232" s="42"/>
      <c r="GW232" s="42"/>
      <c r="GX232" s="42"/>
      <c r="GY232" s="42"/>
      <c r="GZ232" s="42"/>
      <c r="HA232" s="42"/>
      <c r="HB232" s="42"/>
      <c r="HC232" s="42"/>
      <c r="HD232" s="42"/>
      <c r="HE232" s="42"/>
    </row>
    <row r="233" spans="14:213" x14ac:dyDescent="0.2"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  <c r="DB233" s="42"/>
      <c r="DC233" s="42"/>
      <c r="DD233" s="42"/>
      <c r="DE233" s="42"/>
      <c r="DF233" s="42"/>
      <c r="DG233" s="42"/>
      <c r="DH233" s="42"/>
      <c r="DI233" s="42"/>
      <c r="DJ233" s="42"/>
      <c r="DK233" s="42"/>
      <c r="DL233" s="42"/>
      <c r="DM233" s="42"/>
      <c r="DN233" s="42"/>
      <c r="DO233" s="42"/>
      <c r="DP233" s="42"/>
      <c r="DQ233" s="42"/>
      <c r="DR233" s="42"/>
      <c r="DS233" s="42"/>
      <c r="DT233" s="42"/>
      <c r="DU233" s="42"/>
      <c r="DV233" s="42"/>
      <c r="DW233" s="42"/>
      <c r="DX233" s="42"/>
      <c r="DY233" s="42"/>
      <c r="DZ233" s="42"/>
      <c r="EA233" s="42"/>
      <c r="EB233" s="42"/>
      <c r="EC233" s="42"/>
      <c r="ED233" s="42"/>
      <c r="EE233" s="42"/>
      <c r="EF233" s="42"/>
      <c r="EG233" s="42"/>
      <c r="EH233" s="42"/>
      <c r="EI233" s="42"/>
      <c r="EJ233" s="42"/>
      <c r="EK233" s="42"/>
      <c r="EL233" s="42"/>
      <c r="EM233" s="42"/>
      <c r="EN233" s="42"/>
      <c r="EO233" s="42"/>
      <c r="EP233" s="42"/>
      <c r="EQ233" s="42"/>
      <c r="ER233" s="42"/>
      <c r="ES233" s="42"/>
      <c r="ET233" s="42"/>
      <c r="EU233" s="42"/>
      <c r="EV233" s="42"/>
      <c r="EW233" s="42"/>
      <c r="EX233" s="42"/>
      <c r="EY233" s="42"/>
      <c r="EZ233" s="42"/>
      <c r="FA233" s="42"/>
      <c r="FB233" s="42"/>
      <c r="FC233" s="42"/>
      <c r="FD233" s="42"/>
      <c r="FE233" s="42"/>
      <c r="FF233" s="42"/>
      <c r="FG233" s="42"/>
      <c r="FH233" s="42"/>
      <c r="FI233" s="42"/>
      <c r="FJ233" s="42"/>
      <c r="FK233" s="42"/>
      <c r="FL233" s="42"/>
      <c r="FM233" s="42"/>
      <c r="FN233" s="42"/>
      <c r="FO233" s="42"/>
      <c r="FP233" s="42"/>
      <c r="FQ233" s="42"/>
      <c r="FR233" s="42"/>
      <c r="FS233" s="42"/>
      <c r="FT233" s="42"/>
      <c r="FU233" s="42"/>
      <c r="FV233" s="42"/>
      <c r="FW233" s="42"/>
      <c r="FX233" s="42"/>
      <c r="FY233" s="42"/>
      <c r="FZ233" s="42"/>
      <c r="GA233" s="42"/>
      <c r="GB233" s="42"/>
      <c r="GC233" s="42"/>
      <c r="GD233" s="42"/>
      <c r="GE233" s="42"/>
      <c r="GF233" s="42"/>
      <c r="GG233" s="42"/>
      <c r="GH233" s="42"/>
      <c r="GI233" s="42"/>
      <c r="GJ233" s="42"/>
      <c r="GK233" s="42"/>
      <c r="GL233" s="42"/>
      <c r="GM233" s="42"/>
      <c r="GN233" s="42"/>
      <c r="GO233" s="42"/>
      <c r="GP233" s="42"/>
      <c r="GQ233" s="42"/>
      <c r="GR233" s="42"/>
      <c r="GS233" s="42"/>
      <c r="GT233" s="42"/>
      <c r="GU233" s="42"/>
      <c r="GV233" s="42"/>
      <c r="GW233" s="42"/>
      <c r="GX233" s="42"/>
      <c r="GY233" s="42"/>
      <c r="GZ233" s="42"/>
      <c r="HA233" s="42"/>
      <c r="HB233" s="42"/>
      <c r="HC233" s="42"/>
      <c r="HD233" s="42"/>
      <c r="HE233" s="42"/>
    </row>
    <row r="234" spans="14:213" x14ac:dyDescent="0.2"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  <c r="DB234" s="42"/>
      <c r="DC234" s="42"/>
      <c r="DD234" s="42"/>
      <c r="DE234" s="42"/>
      <c r="DF234" s="42"/>
      <c r="DG234" s="42"/>
      <c r="DH234" s="42"/>
      <c r="DI234" s="42"/>
      <c r="DJ234" s="42"/>
      <c r="DK234" s="42"/>
      <c r="DL234" s="42"/>
      <c r="DM234" s="42"/>
      <c r="DN234" s="42"/>
      <c r="DO234" s="42"/>
      <c r="DP234" s="42"/>
      <c r="DQ234" s="42"/>
      <c r="DR234" s="42"/>
      <c r="DS234" s="42"/>
      <c r="DT234" s="42"/>
      <c r="DU234" s="42"/>
      <c r="DV234" s="42"/>
      <c r="DW234" s="42"/>
      <c r="DX234" s="42"/>
      <c r="DY234" s="42"/>
      <c r="DZ234" s="42"/>
      <c r="EA234" s="42"/>
      <c r="EB234" s="42"/>
      <c r="EC234" s="42"/>
      <c r="ED234" s="42"/>
      <c r="EE234" s="42"/>
      <c r="EF234" s="42"/>
      <c r="EG234" s="42"/>
      <c r="EH234" s="42"/>
      <c r="EI234" s="42"/>
      <c r="EJ234" s="42"/>
      <c r="EK234" s="42"/>
      <c r="EL234" s="42"/>
      <c r="EM234" s="42"/>
      <c r="EN234" s="42"/>
      <c r="EO234" s="42"/>
      <c r="EP234" s="42"/>
      <c r="EQ234" s="42"/>
      <c r="ER234" s="42"/>
      <c r="ES234" s="42"/>
      <c r="ET234" s="42"/>
      <c r="EU234" s="42"/>
      <c r="EV234" s="42"/>
      <c r="EW234" s="42"/>
      <c r="EX234" s="42"/>
      <c r="EY234" s="42"/>
      <c r="EZ234" s="42"/>
      <c r="FA234" s="42"/>
      <c r="FB234" s="42"/>
      <c r="FC234" s="42"/>
      <c r="FD234" s="42"/>
      <c r="FE234" s="42"/>
      <c r="FF234" s="42"/>
      <c r="FG234" s="42"/>
      <c r="FH234" s="42"/>
      <c r="FI234" s="42"/>
      <c r="FJ234" s="42"/>
      <c r="FK234" s="42"/>
      <c r="FL234" s="42"/>
      <c r="FM234" s="42"/>
      <c r="FN234" s="42"/>
      <c r="FO234" s="42"/>
      <c r="FP234" s="42"/>
      <c r="FQ234" s="42"/>
      <c r="FR234" s="42"/>
      <c r="FS234" s="42"/>
      <c r="FT234" s="42"/>
      <c r="FU234" s="42"/>
      <c r="FV234" s="42"/>
      <c r="FW234" s="42"/>
      <c r="FX234" s="42"/>
      <c r="FY234" s="42"/>
      <c r="FZ234" s="42"/>
      <c r="GA234" s="42"/>
      <c r="GB234" s="42"/>
      <c r="GC234" s="42"/>
      <c r="GD234" s="42"/>
      <c r="GE234" s="42"/>
      <c r="GF234" s="42"/>
      <c r="GG234" s="42"/>
      <c r="GH234" s="42"/>
      <c r="GI234" s="42"/>
      <c r="GJ234" s="42"/>
      <c r="GK234" s="42"/>
      <c r="GL234" s="42"/>
      <c r="GM234" s="42"/>
      <c r="GN234" s="42"/>
      <c r="GO234" s="42"/>
      <c r="GP234" s="42"/>
      <c r="GQ234" s="42"/>
      <c r="GR234" s="42"/>
      <c r="GS234" s="42"/>
      <c r="GT234" s="42"/>
      <c r="GU234" s="42"/>
      <c r="GV234" s="42"/>
      <c r="GW234" s="42"/>
      <c r="GX234" s="42"/>
      <c r="GY234" s="42"/>
      <c r="GZ234" s="42"/>
      <c r="HA234" s="42"/>
      <c r="HB234" s="42"/>
      <c r="HC234" s="42"/>
      <c r="HD234" s="42"/>
      <c r="HE234" s="42"/>
    </row>
    <row r="235" spans="14:213" x14ac:dyDescent="0.2"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  <c r="DR235" s="42"/>
      <c r="DS235" s="42"/>
      <c r="DT235" s="42"/>
      <c r="DU235" s="42"/>
      <c r="DV235" s="42"/>
      <c r="DW235" s="42"/>
      <c r="DX235" s="42"/>
      <c r="DY235" s="42"/>
      <c r="DZ235" s="42"/>
      <c r="EA235" s="42"/>
      <c r="EB235" s="42"/>
      <c r="EC235" s="42"/>
      <c r="ED235" s="42"/>
      <c r="EE235" s="42"/>
      <c r="EF235" s="42"/>
      <c r="EG235" s="42"/>
      <c r="EH235" s="42"/>
      <c r="EI235" s="42"/>
      <c r="EJ235" s="42"/>
      <c r="EK235" s="42"/>
      <c r="EL235" s="42"/>
      <c r="EM235" s="42"/>
      <c r="EN235" s="42"/>
      <c r="EO235" s="42"/>
      <c r="EP235" s="42"/>
      <c r="EQ235" s="42"/>
      <c r="ER235" s="42"/>
      <c r="ES235" s="42"/>
      <c r="ET235" s="42"/>
      <c r="EU235" s="42"/>
      <c r="EV235" s="42"/>
      <c r="EW235" s="42"/>
      <c r="EX235" s="42"/>
      <c r="EY235" s="42"/>
      <c r="EZ235" s="42"/>
      <c r="FA235" s="42"/>
      <c r="FB235" s="42"/>
      <c r="FC235" s="42"/>
      <c r="FD235" s="42"/>
      <c r="FE235" s="42"/>
      <c r="FF235" s="42"/>
      <c r="FG235" s="42"/>
      <c r="FH235" s="42"/>
      <c r="FI235" s="42"/>
      <c r="FJ235" s="42"/>
      <c r="FK235" s="42"/>
      <c r="FL235" s="42"/>
      <c r="FM235" s="42"/>
      <c r="FN235" s="42"/>
      <c r="FO235" s="42"/>
      <c r="FP235" s="42"/>
      <c r="FQ235" s="42"/>
      <c r="FR235" s="42"/>
      <c r="FS235" s="42"/>
      <c r="FT235" s="42"/>
      <c r="FU235" s="42"/>
      <c r="FV235" s="42"/>
      <c r="FW235" s="42"/>
      <c r="FX235" s="42"/>
      <c r="FY235" s="42"/>
      <c r="FZ235" s="42"/>
      <c r="GA235" s="42"/>
      <c r="GB235" s="42"/>
      <c r="GC235" s="42"/>
      <c r="GD235" s="42"/>
      <c r="GE235" s="42"/>
      <c r="GF235" s="42"/>
      <c r="GG235" s="42"/>
      <c r="GH235" s="42"/>
      <c r="GI235" s="42"/>
      <c r="GJ235" s="42"/>
      <c r="GK235" s="42"/>
      <c r="GL235" s="42"/>
      <c r="GM235" s="42"/>
      <c r="GN235" s="42"/>
      <c r="GO235" s="42"/>
      <c r="GP235" s="42"/>
      <c r="GQ235" s="42"/>
      <c r="GR235" s="42"/>
      <c r="GS235" s="42"/>
      <c r="GT235" s="42"/>
      <c r="GU235" s="42"/>
      <c r="GV235" s="42"/>
      <c r="GW235" s="42"/>
      <c r="GX235" s="42"/>
      <c r="GY235" s="42"/>
      <c r="GZ235" s="42"/>
      <c r="HA235" s="42"/>
      <c r="HB235" s="42"/>
      <c r="HC235" s="42"/>
      <c r="HD235" s="42"/>
      <c r="HE235" s="42"/>
    </row>
    <row r="236" spans="14:213" x14ac:dyDescent="0.2"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  <c r="DG236" s="42"/>
      <c r="DH236" s="42"/>
      <c r="DI236" s="42"/>
      <c r="DJ236" s="42"/>
      <c r="DK236" s="42"/>
      <c r="DL236" s="42"/>
      <c r="DM236" s="42"/>
      <c r="DN236" s="42"/>
      <c r="DO236" s="42"/>
      <c r="DP236" s="42"/>
      <c r="DQ236" s="42"/>
      <c r="DR236" s="42"/>
      <c r="DS236" s="42"/>
      <c r="DT236" s="42"/>
      <c r="DU236" s="42"/>
      <c r="DV236" s="42"/>
      <c r="DW236" s="42"/>
      <c r="DX236" s="42"/>
      <c r="DY236" s="42"/>
      <c r="DZ236" s="42"/>
      <c r="EA236" s="42"/>
      <c r="EB236" s="42"/>
      <c r="EC236" s="42"/>
      <c r="ED236" s="42"/>
      <c r="EE236" s="42"/>
      <c r="EF236" s="42"/>
      <c r="EG236" s="42"/>
      <c r="EH236" s="42"/>
      <c r="EI236" s="42"/>
      <c r="EJ236" s="42"/>
      <c r="EK236" s="42"/>
      <c r="EL236" s="42"/>
      <c r="EM236" s="42"/>
      <c r="EN236" s="42"/>
      <c r="EO236" s="42"/>
      <c r="EP236" s="42"/>
      <c r="EQ236" s="42"/>
      <c r="ER236" s="42"/>
      <c r="ES236" s="42"/>
      <c r="ET236" s="42"/>
      <c r="EU236" s="42"/>
      <c r="EV236" s="42"/>
      <c r="EW236" s="42"/>
      <c r="EX236" s="42"/>
      <c r="EY236" s="42"/>
      <c r="EZ236" s="42"/>
      <c r="FA236" s="42"/>
      <c r="FB236" s="42"/>
      <c r="FC236" s="42"/>
      <c r="FD236" s="42"/>
      <c r="FE236" s="42"/>
      <c r="FF236" s="42"/>
      <c r="FG236" s="42"/>
      <c r="FH236" s="42"/>
      <c r="FI236" s="42"/>
      <c r="FJ236" s="42"/>
      <c r="FK236" s="42"/>
      <c r="FL236" s="42"/>
      <c r="FM236" s="42"/>
      <c r="FN236" s="42"/>
      <c r="FO236" s="42"/>
      <c r="FP236" s="42"/>
      <c r="FQ236" s="42"/>
      <c r="FR236" s="42"/>
      <c r="FS236" s="42"/>
      <c r="FT236" s="42"/>
      <c r="FU236" s="42"/>
      <c r="FV236" s="42"/>
      <c r="FW236" s="42"/>
      <c r="FX236" s="42"/>
      <c r="FY236" s="42"/>
      <c r="FZ236" s="42"/>
      <c r="GA236" s="42"/>
      <c r="GB236" s="42"/>
      <c r="GC236" s="42"/>
      <c r="GD236" s="42"/>
      <c r="GE236" s="42"/>
      <c r="GF236" s="42"/>
      <c r="GG236" s="42"/>
      <c r="GH236" s="42"/>
      <c r="GI236" s="42"/>
      <c r="GJ236" s="42"/>
      <c r="GK236" s="42"/>
      <c r="GL236" s="42"/>
      <c r="GM236" s="42"/>
      <c r="GN236" s="42"/>
      <c r="GO236" s="42"/>
      <c r="GP236" s="42"/>
      <c r="GQ236" s="42"/>
      <c r="GR236" s="42"/>
      <c r="GS236" s="42"/>
      <c r="GT236" s="42"/>
      <c r="GU236" s="42"/>
      <c r="GV236" s="42"/>
      <c r="GW236" s="42"/>
      <c r="GX236" s="42"/>
      <c r="GY236" s="42"/>
      <c r="GZ236" s="42"/>
      <c r="HA236" s="42"/>
      <c r="HB236" s="42"/>
      <c r="HC236" s="42"/>
      <c r="HD236" s="42"/>
      <c r="HE236" s="42"/>
    </row>
    <row r="237" spans="14:213" x14ac:dyDescent="0.2"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  <c r="DG237" s="42"/>
      <c r="DH237" s="42"/>
      <c r="DI237" s="42"/>
      <c r="DJ237" s="42"/>
      <c r="DK237" s="42"/>
      <c r="DL237" s="42"/>
      <c r="DM237" s="42"/>
      <c r="DN237" s="42"/>
      <c r="DO237" s="42"/>
      <c r="DP237" s="42"/>
      <c r="DQ237" s="42"/>
      <c r="DR237" s="42"/>
      <c r="DS237" s="42"/>
      <c r="DT237" s="42"/>
      <c r="DU237" s="42"/>
      <c r="DV237" s="42"/>
      <c r="DW237" s="42"/>
      <c r="DX237" s="42"/>
      <c r="DY237" s="42"/>
      <c r="DZ237" s="42"/>
      <c r="EA237" s="42"/>
      <c r="EB237" s="42"/>
      <c r="EC237" s="42"/>
      <c r="ED237" s="42"/>
      <c r="EE237" s="42"/>
      <c r="EF237" s="42"/>
      <c r="EG237" s="42"/>
      <c r="EH237" s="42"/>
      <c r="EI237" s="42"/>
      <c r="EJ237" s="42"/>
      <c r="EK237" s="42"/>
      <c r="EL237" s="42"/>
      <c r="EM237" s="42"/>
      <c r="EN237" s="42"/>
      <c r="EO237" s="42"/>
      <c r="EP237" s="42"/>
      <c r="EQ237" s="42"/>
      <c r="ER237" s="42"/>
      <c r="ES237" s="42"/>
      <c r="ET237" s="42"/>
      <c r="EU237" s="42"/>
      <c r="EV237" s="42"/>
      <c r="EW237" s="42"/>
      <c r="EX237" s="42"/>
      <c r="EY237" s="42"/>
      <c r="EZ237" s="42"/>
      <c r="FA237" s="42"/>
      <c r="FB237" s="42"/>
      <c r="FC237" s="42"/>
      <c r="FD237" s="42"/>
      <c r="FE237" s="42"/>
      <c r="FF237" s="42"/>
      <c r="FG237" s="42"/>
      <c r="FH237" s="42"/>
      <c r="FI237" s="42"/>
      <c r="FJ237" s="42"/>
      <c r="FK237" s="42"/>
      <c r="FL237" s="42"/>
      <c r="FM237" s="42"/>
      <c r="FN237" s="42"/>
      <c r="FO237" s="42"/>
      <c r="FP237" s="42"/>
      <c r="FQ237" s="42"/>
      <c r="FR237" s="42"/>
      <c r="FS237" s="42"/>
      <c r="FT237" s="42"/>
      <c r="FU237" s="42"/>
      <c r="FV237" s="42"/>
      <c r="FW237" s="42"/>
      <c r="FX237" s="42"/>
      <c r="FY237" s="42"/>
      <c r="FZ237" s="42"/>
      <c r="GA237" s="42"/>
      <c r="GB237" s="42"/>
      <c r="GC237" s="42"/>
      <c r="GD237" s="42"/>
      <c r="GE237" s="42"/>
      <c r="GF237" s="42"/>
      <c r="GG237" s="42"/>
      <c r="GH237" s="42"/>
      <c r="GI237" s="42"/>
      <c r="GJ237" s="42"/>
      <c r="GK237" s="42"/>
      <c r="GL237" s="42"/>
      <c r="GM237" s="42"/>
      <c r="GN237" s="42"/>
      <c r="GO237" s="42"/>
      <c r="GP237" s="42"/>
      <c r="GQ237" s="42"/>
      <c r="GR237" s="42"/>
      <c r="GS237" s="42"/>
      <c r="GT237" s="42"/>
      <c r="GU237" s="42"/>
      <c r="GV237" s="42"/>
      <c r="GW237" s="42"/>
      <c r="GX237" s="42"/>
      <c r="GY237" s="42"/>
      <c r="GZ237" s="42"/>
      <c r="HA237" s="42"/>
      <c r="HB237" s="42"/>
      <c r="HC237" s="42"/>
      <c r="HD237" s="42"/>
      <c r="HE237" s="42"/>
    </row>
    <row r="238" spans="14:213" x14ac:dyDescent="0.2"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  <c r="DG238" s="42"/>
      <c r="DH238" s="42"/>
      <c r="DI238" s="42"/>
      <c r="DJ238" s="42"/>
      <c r="DK238" s="42"/>
      <c r="DL238" s="42"/>
      <c r="DM238" s="42"/>
      <c r="DN238" s="42"/>
      <c r="DO238" s="42"/>
      <c r="DP238" s="42"/>
      <c r="DQ238" s="42"/>
      <c r="DR238" s="42"/>
      <c r="DS238" s="42"/>
      <c r="DT238" s="42"/>
      <c r="DU238" s="42"/>
      <c r="DV238" s="42"/>
      <c r="DW238" s="42"/>
      <c r="DX238" s="42"/>
      <c r="DY238" s="42"/>
      <c r="DZ238" s="42"/>
      <c r="EA238" s="42"/>
      <c r="EB238" s="42"/>
      <c r="EC238" s="42"/>
      <c r="ED238" s="42"/>
      <c r="EE238" s="42"/>
      <c r="EF238" s="42"/>
      <c r="EG238" s="42"/>
      <c r="EH238" s="42"/>
      <c r="EI238" s="42"/>
      <c r="EJ238" s="42"/>
      <c r="EK238" s="42"/>
      <c r="EL238" s="42"/>
      <c r="EM238" s="42"/>
      <c r="EN238" s="42"/>
      <c r="EO238" s="42"/>
      <c r="EP238" s="42"/>
      <c r="EQ238" s="42"/>
      <c r="ER238" s="42"/>
      <c r="ES238" s="42"/>
      <c r="ET238" s="42"/>
      <c r="EU238" s="42"/>
      <c r="EV238" s="42"/>
      <c r="EW238" s="42"/>
      <c r="EX238" s="42"/>
      <c r="EY238" s="42"/>
      <c r="EZ238" s="42"/>
      <c r="FA238" s="42"/>
      <c r="FB238" s="42"/>
      <c r="FC238" s="42"/>
      <c r="FD238" s="42"/>
      <c r="FE238" s="42"/>
      <c r="FF238" s="42"/>
      <c r="FG238" s="42"/>
      <c r="FH238" s="42"/>
      <c r="FI238" s="42"/>
      <c r="FJ238" s="42"/>
      <c r="FK238" s="42"/>
      <c r="FL238" s="42"/>
      <c r="FM238" s="42"/>
      <c r="FN238" s="42"/>
      <c r="FO238" s="42"/>
      <c r="FP238" s="42"/>
      <c r="FQ238" s="42"/>
      <c r="FR238" s="42"/>
      <c r="FS238" s="42"/>
      <c r="FT238" s="42"/>
      <c r="FU238" s="42"/>
      <c r="FV238" s="42"/>
      <c r="FW238" s="42"/>
      <c r="FX238" s="42"/>
      <c r="FY238" s="42"/>
      <c r="FZ238" s="42"/>
      <c r="GA238" s="42"/>
      <c r="GB238" s="42"/>
      <c r="GC238" s="42"/>
      <c r="GD238" s="42"/>
      <c r="GE238" s="42"/>
      <c r="GF238" s="42"/>
      <c r="GG238" s="42"/>
      <c r="GH238" s="42"/>
      <c r="GI238" s="42"/>
      <c r="GJ238" s="42"/>
      <c r="GK238" s="42"/>
      <c r="GL238" s="42"/>
      <c r="GM238" s="42"/>
      <c r="GN238" s="42"/>
      <c r="GO238" s="42"/>
      <c r="GP238" s="42"/>
      <c r="GQ238" s="42"/>
      <c r="GR238" s="42"/>
      <c r="GS238" s="42"/>
      <c r="GT238" s="42"/>
      <c r="GU238" s="42"/>
      <c r="GV238" s="42"/>
      <c r="GW238" s="42"/>
      <c r="GX238" s="42"/>
      <c r="GY238" s="42"/>
      <c r="GZ238" s="42"/>
      <c r="HA238" s="42"/>
      <c r="HB238" s="42"/>
      <c r="HC238" s="42"/>
      <c r="HD238" s="42"/>
      <c r="HE238" s="42"/>
    </row>
    <row r="239" spans="14:213" x14ac:dyDescent="0.2"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  <c r="DB239" s="42"/>
      <c r="DC239" s="42"/>
      <c r="DD239" s="42"/>
      <c r="DE239" s="42"/>
      <c r="DF239" s="42"/>
      <c r="DG239" s="42"/>
      <c r="DH239" s="42"/>
      <c r="DI239" s="42"/>
      <c r="DJ239" s="42"/>
      <c r="DK239" s="42"/>
      <c r="DL239" s="42"/>
      <c r="DM239" s="42"/>
      <c r="DN239" s="42"/>
      <c r="DO239" s="42"/>
      <c r="DP239" s="42"/>
      <c r="DQ239" s="42"/>
      <c r="DR239" s="42"/>
      <c r="DS239" s="42"/>
      <c r="DT239" s="42"/>
      <c r="DU239" s="42"/>
      <c r="DV239" s="42"/>
      <c r="DW239" s="42"/>
      <c r="DX239" s="42"/>
      <c r="DY239" s="42"/>
      <c r="DZ239" s="42"/>
      <c r="EA239" s="42"/>
      <c r="EB239" s="42"/>
      <c r="EC239" s="42"/>
      <c r="ED239" s="42"/>
      <c r="EE239" s="42"/>
      <c r="EF239" s="42"/>
      <c r="EG239" s="42"/>
      <c r="EH239" s="42"/>
      <c r="EI239" s="42"/>
      <c r="EJ239" s="42"/>
      <c r="EK239" s="42"/>
      <c r="EL239" s="42"/>
      <c r="EM239" s="42"/>
      <c r="EN239" s="42"/>
      <c r="EO239" s="42"/>
      <c r="EP239" s="42"/>
      <c r="EQ239" s="42"/>
      <c r="ER239" s="42"/>
      <c r="ES239" s="42"/>
      <c r="ET239" s="42"/>
      <c r="EU239" s="42"/>
      <c r="EV239" s="42"/>
      <c r="EW239" s="42"/>
      <c r="EX239" s="42"/>
      <c r="EY239" s="42"/>
      <c r="EZ239" s="42"/>
      <c r="FA239" s="42"/>
      <c r="FB239" s="42"/>
      <c r="FC239" s="42"/>
      <c r="FD239" s="42"/>
      <c r="FE239" s="42"/>
      <c r="FF239" s="42"/>
      <c r="FG239" s="42"/>
      <c r="FH239" s="42"/>
      <c r="FI239" s="42"/>
      <c r="FJ239" s="42"/>
      <c r="FK239" s="42"/>
      <c r="FL239" s="42"/>
      <c r="FM239" s="42"/>
      <c r="FN239" s="42"/>
      <c r="FO239" s="42"/>
      <c r="FP239" s="42"/>
      <c r="FQ239" s="42"/>
      <c r="FR239" s="42"/>
      <c r="FS239" s="42"/>
      <c r="FT239" s="42"/>
      <c r="FU239" s="42"/>
      <c r="FV239" s="42"/>
      <c r="FW239" s="42"/>
      <c r="FX239" s="42"/>
      <c r="FY239" s="42"/>
      <c r="FZ239" s="42"/>
      <c r="GA239" s="42"/>
      <c r="GB239" s="42"/>
      <c r="GC239" s="42"/>
      <c r="GD239" s="42"/>
      <c r="GE239" s="42"/>
      <c r="GF239" s="42"/>
      <c r="GG239" s="42"/>
      <c r="GH239" s="42"/>
      <c r="GI239" s="42"/>
      <c r="GJ239" s="42"/>
      <c r="GK239" s="42"/>
      <c r="GL239" s="42"/>
      <c r="GM239" s="42"/>
      <c r="GN239" s="42"/>
      <c r="GO239" s="42"/>
      <c r="GP239" s="42"/>
      <c r="GQ239" s="42"/>
      <c r="GR239" s="42"/>
      <c r="GS239" s="42"/>
      <c r="GT239" s="42"/>
      <c r="GU239" s="42"/>
      <c r="GV239" s="42"/>
      <c r="GW239" s="42"/>
      <c r="GX239" s="42"/>
      <c r="GY239" s="42"/>
      <c r="GZ239" s="42"/>
      <c r="HA239" s="42"/>
      <c r="HB239" s="42"/>
      <c r="HC239" s="42"/>
      <c r="HD239" s="42"/>
      <c r="HE239" s="42"/>
    </row>
    <row r="240" spans="14:213" x14ac:dyDescent="0.2"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  <c r="DZ240" s="42"/>
      <c r="EA240" s="42"/>
      <c r="EB240" s="42"/>
      <c r="EC240" s="42"/>
      <c r="ED240" s="42"/>
      <c r="EE240" s="42"/>
      <c r="EF240" s="42"/>
      <c r="EG240" s="42"/>
      <c r="EH240" s="42"/>
      <c r="EI240" s="42"/>
      <c r="EJ240" s="42"/>
      <c r="EK240" s="42"/>
      <c r="EL240" s="42"/>
      <c r="EM240" s="42"/>
      <c r="EN240" s="42"/>
      <c r="EO240" s="42"/>
      <c r="EP240" s="42"/>
      <c r="EQ240" s="42"/>
      <c r="ER240" s="42"/>
      <c r="ES240" s="42"/>
      <c r="ET240" s="42"/>
      <c r="EU240" s="42"/>
      <c r="EV240" s="42"/>
      <c r="EW240" s="42"/>
      <c r="EX240" s="42"/>
      <c r="EY240" s="42"/>
      <c r="EZ240" s="42"/>
      <c r="FA240" s="42"/>
      <c r="FB240" s="42"/>
      <c r="FC240" s="42"/>
      <c r="FD240" s="42"/>
      <c r="FE240" s="42"/>
      <c r="FF240" s="42"/>
      <c r="FG240" s="42"/>
      <c r="FH240" s="42"/>
      <c r="FI240" s="42"/>
      <c r="FJ240" s="42"/>
      <c r="FK240" s="42"/>
      <c r="FL240" s="42"/>
      <c r="FM240" s="42"/>
      <c r="FN240" s="42"/>
      <c r="FO240" s="42"/>
      <c r="FP240" s="42"/>
      <c r="FQ240" s="42"/>
      <c r="FR240" s="42"/>
      <c r="FS240" s="42"/>
      <c r="FT240" s="42"/>
      <c r="FU240" s="42"/>
      <c r="FV240" s="42"/>
      <c r="FW240" s="42"/>
      <c r="FX240" s="42"/>
      <c r="FY240" s="42"/>
      <c r="FZ240" s="42"/>
      <c r="GA240" s="42"/>
      <c r="GB240" s="42"/>
      <c r="GC240" s="42"/>
      <c r="GD240" s="42"/>
      <c r="GE240" s="42"/>
      <c r="GF240" s="42"/>
      <c r="GG240" s="42"/>
      <c r="GH240" s="42"/>
      <c r="GI240" s="42"/>
      <c r="GJ240" s="42"/>
      <c r="GK240" s="42"/>
      <c r="GL240" s="42"/>
      <c r="GM240" s="42"/>
      <c r="GN240" s="42"/>
      <c r="GO240" s="42"/>
      <c r="GP240" s="42"/>
      <c r="GQ240" s="42"/>
      <c r="GR240" s="42"/>
      <c r="GS240" s="42"/>
      <c r="GT240" s="42"/>
      <c r="GU240" s="42"/>
      <c r="GV240" s="42"/>
      <c r="GW240" s="42"/>
      <c r="GX240" s="42"/>
      <c r="GY240" s="42"/>
      <c r="GZ240" s="42"/>
      <c r="HA240" s="42"/>
      <c r="HB240" s="42"/>
      <c r="HC240" s="42"/>
      <c r="HD240" s="42"/>
      <c r="HE240" s="42"/>
    </row>
    <row r="241" spans="14:213" x14ac:dyDescent="0.2"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  <c r="DB241" s="42"/>
      <c r="DC241" s="42"/>
      <c r="DD241" s="42"/>
      <c r="DE241" s="42"/>
      <c r="DF241" s="42"/>
      <c r="DG241" s="42"/>
      <c r="DH241" s="42"/>
      <c r="DI241" s="42"/>
      <c r="DJ241" s="42"/>
      <c r="DK241" s="42"/>
      <c r="DL241" s="42"/>
      <c r="DM241" s="42"/>
      <c r="DN241" s="42"/>
      <c r="DO241" s="42"/>
      <c r="DP241" s="42"/>
      <c r="DQ241" s="42"/>
      <c r="DR241" s="42"/>
      <c r="DS241" s="42"/>
      <c r="DT241" s="42"/>
      <c r="DU241" s="42"/>
      <c r="DV241" s="42"/>
      <c r="DW241" s="42"/>
      <c r="DX241" s="42"/>
      <c r="DY241" s="42"/>
      <c r="DZ241" s="42"/>
      <c r="EA241" s="42"/>
      <c r="EB241" s="42"/>
      <c r="EC241" s="42"/>
      <c r="ED241" s="42"/>
      <c r="EE241" s="42"/>
      <c r="EF241" s="42"/>
      <c r="EG241" s="42"/>
      <c r="EH241" s="42"/>
      <c r="EI241" s="42"/>
      <c r="EJ241" s="42"/>
      <c r="EK241" s="42"/>
      <c r="EL241" s="42"/>
      <c r="EM241" s="42"/>
      <c r="EN241" s="42"/>
      <c r="EO241" s="42"/>
      <c r="EP241" s="42"/>
      <c r="EQ241" s="42"/>
      <c r="ER241" s="42"/>
      <c r="ES241" s="42"/>
      <c r="ET241" s="42"/>
      <c r="EU241" s="42"/>
      <c r="EV241" s="42"/>
      <c r="EW241" s="42"/>
      <c r="EX241" s="42"/>
      <c r="EY241" s="42"/>
      <c r="EZ241" s="42"/>
      <c r="FA241" s="42"/>
      <c r="FB241" s="42"/>
      <c r="FC241" s="42"/>
      <c r="FD241" s="42"/>
      <c r="FE241" s="42"/>
      <c r="FF241" s="42"/>
      <c r="FG241" s="42"/>
      <c r="FH241" s="42"/>
      <c r="FI241" s="42"/>
      <c r="FJ241" s="42"/>
      <c r="FK241" s="42"/>
      <c r="FL241" s="42"/>
      <c r="FM241" s="42"/>
      <c r="FN241" s="42"/>
      <c r="FO241" s="42"/>
      <c r="FP241" s="42"/>
      <c r="FQ241" s="42"/>
      <c r="FR241" s="42"/>
      <c r="FS241" s="42"/>
      <c r="FT241" s="42"/>
      <c r="FU241" s="42"/>
      <c r="FV241" s="42"/>
      <c r="FW241" s="42"/>
      <c r="FX241" s="42"/>
      <c r="FY241" s="42"/>
      <c r="FZ241" s="42"/>
      <c r="GA241" s="42"/>
      <c r="GB241" s="42"/>
      <c r="GC241" s="42"/>
      <c r="GD241" s="42"/>
      <c r="GE241" s="42"/>
      <c r="GF241" s="42"/>
      <c r="GG241" s="42"/>
      <c r="GH241" s="42"/>
      <c r="GI241" s="42"/>
      <c r="GJ241" s="42"/>
      <c r="GK241" s="42"/>
      <c r="GL241" s="42"/>
      <c r="GM241" s="42"/>
      <c r="GN241" s="42"/>
      <c r="GO241" s="42"/>
      <c r="GP241" s="42"/>
      <c r="GQ241" s="42"/>
      <c r="GR241" s="42"/>
      <c r="GS241" s="42"/>
      <c r="GT241" s="42"/>
      <c r="GU241" s="42"/>
      <c r="GV241" s="42"/>
      <c r="GW241" s="42"/>
      <c r="GX241" s="42"/>
      <c r="GY241" s="42"/>
      <c r="GZ241" s="42"/>
      <c r="HA241" s="42"/>
      <c r="HB241" s="42"/>
      <c r="HC241" s="42"/>
      <c r="HD241" s="42"/>
      <c r="HE241" s="42"/>
    </row>
  </sheetData>
  <mergeCells count="31">
    <mergeCell ref="L8:M9"/>
    <mergeCell ref="H8:K9"/>
    <mergeCell ref="B1:E1"/>
    <mergeCell ref="B8:B11"/>
    <mergeCell ref="C8:C11"/>
    <mergeCell ref="D8:D11"/>
    <mergeCell ref="E8:F9"/>
    <mergeCell ref="A7:F7"/>
    <mergeCell ref="L10:L11"/>
    <mergeCell ref="M10:M11"/>
    <mergeCell ref="A2:L2"/>
    <mergeCell ref="A3:L3"/>
    <mergeCell ref="A4:L4"/>
    <mergeCell ref="A5:L5"/>
    <mergeCell ref="A6:L6"/>
    <mergeCell ref="B101:C101"/>
    <mergeCell ref="B102:C102"/>
    <mergeCell ref="B103:C103"/>
    <mergeCell ref="A94:F94"/>
    <mergeCell ref="G8:G11"/>
    <mergeCell ref="E10:E11"/>
    <mergeCell ref="F10:F11"/>
    <mergeCell ref="A8:A11"/>
    <mergeCell ref="J97:K97"/>
    <mergeCell ref="H98:I98"/>
    <mergeCell ref="H99:I99"/>
    <mergeCell ref="H100:I100"/>
    <mergeCell ref="J10:J11"/>
    <mergeCell ref="K10:K11"/>
    <mergeCell ref="H10:H11"/>
    <mergeCell ref="I10:I11"/>
  </mergeCells>
  <phoneticPr fontId="37" type="noConversion"/>
  <printOptions horizontalCentered="1"/>
  <pageMargins left="0.51181102362204722" right="0.51181102362204722" top="0.98425196850393704" bottom="0.59055118110236227" header="0.51181102362204722" footer="0.51181102362204722"/>
  <pageSetup paperSize="9" scale="58" fitToHeight="0" orientation="landscape" r:id="rId1"/>
  <headerFooter>
    <oddHeader>&amp;L &amp;C &amp;R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3"/>
  <sheetViews>
    <sheetView showGridLines="0" topLeftCell="A73" zoomScaleNormal="100" workbookViewId="0">
      <selection activeCell="K14" sqref="K14"/>
    </sheetView>
  </sheetViews>
  <sheetFormatPr defaultColWidth="9" defaultRowHeight="10.5" x14ac:dyDescent="0.2"/>
  <cols>
    <col min="1" max="1" width="7.625" style="103" customWidth="1"/>
    <col min="2" max="2" width="11.5" style="112" customWidth="1"/>
    <col min="3" max="3" width="50.375" style="103" customWidth="1"/>
    <col min="4" max="7" width="7.625" style="103" customWidth="1"/>
    <col min="8" max="8" width="9.75" style="103" bestFit="1" customWidth="1"/>
    <col min="9" max="9" width="9.625" style="103" customWidth="1"/>
    <col min="10" max="10" width="8.875" style="103" bestFit="1" customWidth="1"/>
    <col min="11" max="11" width="10" style="103" bestFit="1" customWidth="1"/>
    <col min="12" max="16384" width="9" style="103"/>
  </cols>
  <sheetData>
    <row r="1" spans="1:11" x14ac:dyDescent="0.2">
      <c r="B1" s="104" t="s">
        <v>71</v>
      </c>
      <c r="C1" s="287" t="s">
        <v>239</v>
      </c>
      <c r="D1" s="287"/>
      <c r="E1" s="287"/>
      <c r="F1" s="287"/>
      <c r="G1" s="287"/>
      <c r="H1" s="105"/>
      <c r="I1" s="105"/>
      <c r="J1" s="106"/>
      <c r="K1" s="107"/>
    </row>
    <row r="2" spans="1:11" ht="21" x14ac:dyDescent="0.2">
      <c r="B2" s="104" t="s">
        <v>72</v>
      </c>
      <c r="C2" s="105" t="s">
        <v>237</v>
      </c>
      <c r="D2" s="105"/>
      <c r="E2" s="105"/>
      <c r="F2" s="105"/>
      <c r="G2" s="105"/>
      <c r="H2" s="105"/>
      <c r="I2" s="105"/>
      <c r="J2" s="105"/>
      <c r="K2" s="105"/>
    </row>
    <row r="3" spans="1:11" x14ac:dyDescent="0.2">
      <c r="B3" s="104" t="s">
        <v>73</v>
      </c>
      <c r="C3" s="287" t="s">
        <v>74</v>
      </c>
      <c r="D3" s="287"/>
      <c r="E3" s="287"/>
      <c r="F3" s="288"/>
      <c r="G3" s="288"/>
      <c r="H3" s="108"/>
      <c r="I3" s="108"/>
      <c r="J3" s="106"/>
      <c r="K3" s="107"/>
    </row>
    <row r="4" spans="1:11" x14ac:dyDescent="0.2">
      <c r="B4" s="104" t="s">
        <v>75</v>
      </c>
      <c r="C4" s="287" t="s">
        <v>83</v>
      </c>
      <c r="D4" s="287"/>
      <c r="E4" s="287"/>
      <c r="F4" s="288"/>
      <c r="G4" s="288"/>
      <c r="H4" s="108"/>
      <c r="I4" s="108"/>
      <c r="J4" s="106"/>
      <c r="K4" s="107"/>
    </row>
    <row r="5" spans="1:11" x14ac:dyDescent="0.2">
      <c r="B5" s="104" t="s">
        <v>76</v>
      </c>
      <c r="C5" s="289" t="s">
        <v>238</v>
      </c>
      <c r="D5" s="287"/>
      <c r="E5" s="287"/>
      <c r="F5" s="287"/>
      <c r="G5" s="287"/>
      <c r="H5" s="105"/>
      <c r="I5" s="105"/>
      <c r="J5" s="106"/>
      <c r="K5" s="107"/>
    </row>
    <row r="6" spans="1:11" x14ac:dyDescent="0.2">
      <c r="B6" s="109" t="s">
        <v>77</v>
      </c>
      <c r="C6" s="289" t="s">
        <v>293</v>
      </c>
      <c r="D6" s="287"/>
      <c r="E6" s="287"/>
      <c r="F6" s="287"/>
      <c r="G6" s="287"/>
      <c r="J6" s="110"/>
    </row>
    <row r="7" spans="1:11" x14ac:dyDescent="0.2">
      <c r="B7" s="109"/>
      <c r="C7" s="111"/>
      <c r="D7" s="105"/>
      <c r="E7" s="105"/>
      <c r="F7" s="105"/>
      <c r="G7" s="105"/>
      <c r="J7" s="110"/>
    </row>
    <row r="8" spans="1:11" x14ac:dyDescent="0.2">
      <c r="B8" s="109"/>
      <c r="C8" s="111"/>
      <c r="D8" s="105"/>
      <c r="E8" s="105"/>
      <c r="F8" s="105"/>
      <c r="G8" s="105"/>
      <c r="J8" s="110"/>
    </row>
    <row r="9" spans="1:11" x14ac:dyDescent="0.2">
      <c r="F9" s="113" t="s">
        <v>78</v>
      </c>
      <c r="G9" s="114">
        <v>0.23050000000000001</v>
      </c>
    </row>
    <row r="11" spans="1:11" s="115" customFormat="1" ht="21" x14ac:dyDescent="0.2">
      <c r="A11" s="138" t="s">
        <v>227</v>
      </c>
      <c r="B11" s="139" t="s">
        <v>258</v>
      </c>
      <c r="C11" s="140" t="s">
        <v>292</v>
      </c>
      <c r="D11" s="141"/>
      <c r="E11" s="142" t="s">
        <v>60</v>
      </c>
      <c r="F11" s="143"/>
      <c r="G11" s="143"/>
      <c r="I11" s="148" t="s">
        <v>84</v>
      </c>
    </row>
    <row r="12" spans="1:11" x14ac:dyDescent="0.2">
      <c r="A12" s="116"/>
      <c r="B12" s="117" t="s">
        <v>295</v>
      </c>
      <c r="C12" s="118" t="s">
        <v>294</v>
      </c>
      <c r="D12" s="228">
        <v>0.4</v>
      </c>
      <c r="E12" s="120" t="s">
        <v>80</v>
      </c>
      <c r="F12" s="214">
        <v>23.68</v>
      </c>
      <c r="G12" s="121">
        <f>D12*F12</f>
        <v>9.4719999999999995</v>
      </c>
      <c r="I12" s="144"/>
    </row>
    <row r="13" spans="1:11" x14ac:dyDescent="0.2">
      <c r="A13" s="116"/>
      <c r="B13" s="117" t="s">
        <v>296</v>
      </c>
      <c r="C13" s="118" t="s">
        <v>273</v>
      </c>
      <c r="D13" s="228">
        <v>4</v>
      </c>
      <c r="E13" s="120" t="s">
        <v>80</v>
      </c>
      <c r="F13" s="214">
        <v>19.38</v>
      </c>
      <c r="G13" s="121">
        <f t="shared" ref="G13" si="0">D13*F13</f>
        <v>77.52</v>
      </c>
      <c r="I13" s="144"/>
    </row>
    <row r="14" spans="1:11" x14ac:dyDescent="0.2">
      <c r="A14" s="116"/>
      <c r="B14" s="117"/>
      <c r="C14" s="284" t="s">
        <v>81</v>
      </c>
      <c r="D14" s="285"/>
      <c r="E14" s="118"/>
      <c r="F14" s="121"/>
      <c r="G14" s="121">
        <f>SUM(G12:G13)</f>
        <v>86.99199999999999</v>
      </c>
      <c r="I14" s="144"/>
    </row>
    <row r="15" spans="1:11" x14ac:dyDescent="0.2">
      <c r="A15" s="116"/>
      <c r="B15" s="117"/>
      <c r="C15" s="284" t="s">
        <v>259</v>
      </c>
      <c r="D15" s="285"/>
      <c r="E15" s="118"/>
      <c r="F15" s="121"/>
      <c r="G15" s="121">
        <f>G14*(1-0.2706)</f>
        <v>63.451964799999999</v>
      </c>
      <c r="I15" s="144"/>
    </row>
    <row r="16" spans="1:11" s="126" customFormat="1" x14ac:dyDescent="0.2">
      <c r="A16" s="122"/>
      <c r="B16" s="123"/>
      <c r="C16" s="286" t="s">
        <v>82</v>
      </c>
      <c r="D16" s="286"/>
      <c r="E16" s="124"/>
      <c r="F16" s="124"/>
      <c r="G16" s="125">
        <f>(1+$G$9)*G15</f>
        <v>78.077642686399997</v>
      </c>
      <c r="I16" s="145">
        <f>G14*(1+$G$9)</f>
        <v>107.04365599999998</v>
      </c>
    </row>
    <row r="17" spans="1:11" x14ac:dyDescent="0.2">
      <c r="A17" s="127"/>
      <c r="B17" s="128"/>
      <c r="C17" s="129"/>
      <c r="D17" s="130"/>
      <c r="E17" s="131"/>
      <c r="F17" s="130"/>
      <c r="G17" s="130"/>
      <c r="I17" s="144"/>
    </row>
    <row r="18" spans="1:11" x14ac:dyDescent="0.2">
      <c r="A18" s="138" t="s">
        <v>228</v>
      </c>
      <c r="B18" s="139" t="s">
        <v>260</v>
      </c>
      <c r="C18" s="140" t="s">
        <v>297</v>
      </c>
      <c r="D18" s="141"/>
      <c r="E18" s="142" t="s">
        <v>59</v>
      </c>
      <c r="F18" s="143"/>
      <c r="G18" s="143"/>
      <c r="I18" s="144"/>
    </row>
    <row r="19" spans="1:11" x14ac:dyDescent="0.2">
      <c r="A19" s="116"/>
      <c r="B19" s="117" t="s">
        <v>299</v>
      </c>
      <c r="C19" s="118" t="s">
        <v>298</v>
      </c>
      <c r="D19" s="120">
        <v>3.5999999999999997E-2</v>
      </c>
      <c r="E19" s="120" t="s">
        <v>80</v>
      </c>
      <c r="F19" s="121">
        <v>17.68</v>
      </c>
      <c r="G19" s="121">
        <f>D19*F19</f>
        <v>0.63647999999999993</v>
      </c>
      <c r="I19" s="144"/>
    </row>
    <row r="20" spans="1:11" x14ac:dyDescent="0.2">
      <c r="A20" s="116"/>
      <c r="B20" s="117" t="s">
        <v>301</v>
      </c>
      <c r="C20" s="118" t="s">
        <v>300</v>
      </c>
      <c r="D20" s="120">
        <v>1.7999999999999999E-2</v>
      </c>
      <c r="E20" s="120" t="s">
        <v>80</v>
      </c>
      <c r="F20" s="121">
        <v>37.44</v>
      </c>
      <c r="G20" s="121">
        <f t="shared" ref="G20" si="1">D20*F20</f>
        <v>0.67391999999999996</v>
      </c>
      <c r="I20" s="144"/>
    </row>
    <row r="21" spans="1:11" x14ac:dyDescent="0.2">
      <c r="A21" s="116"/>
      <c r="B21" s="117"/>
      <c r="C21" s="290" t="s">
        <v>81</v>
      </c>
      <c r="D21" s="290"/>
      <c r="E21" s="118"/>
      <c r="F21" s="121"/>
      <c r="G21" s="121">
        <f>SUM(G19:G20)</f>
        <v>1.3104</v>
      </c>
      <c r="I21" s="144"/>
    </row>
    <row r="22" spans="1:11" x14ac:dyDescent="0.2">
      <c r="A22" s="116"/>
      <c r="B22" s="117"/>
      <c r="C22" s="284" t="s">
        <v>259</v>
      </c>
      <c r="D22" s="285"/>
      <c r="E22" s="118"/>
      <c r="F22" s="121"/>
      <c r="G22" s="121">
        <f>G21*(1-0.2706)</f>
        <v>0.95580576000000006</v>
      </c>
      <c r="I22" s="144"/>
      <c r="K22" s="115"/>
    </row>
    <row r="23" spans="1:11" x14ac:dyDescent="0.2">
      <c r="A23" s="122"/>
      <c r="B23" s="123"/>
      <c r="C23" s="286" t="s">
        <v>82</v>
      </c>
      <c r="D23" s="286"/>
      <c r="E23" s="124"/>
      <c r="F23" s="124"/>
      <c r="G23" s="125">
        <f>(1+$G$9)*G22</f>
        <v>1.17611898768</v>
      </c>
      <c r="I23" s="145">
        <f>G21*(1+$G$9)</f>
        <v>1.6124471999999999</v>
      </c>
    </row>
    <row r="24" spans="1:11" s="126" customFormat="1" x14ac:dyDescent="0.2">
      <c r="A24" s="132"/>
      <c r="B24" s="133"/>
      <c r="C24" s="134"/>
      <c r="D24" s="134"/>
      <c r="E24" s="135"/>
      <c r="F24" s="135"/>
      <c r="G24" s="136"/>
      <c r="I24" s="146"/>
    </row>
    <row r="25" spans="1:11" ht="21" x14ac:dyDescent="0.2">
      <c r="A25" s="138" t="s">
        <v>229</v>
      </c>
      <c r="B25" s="139" t="s">
        <v>261</v>
      </c>
      <c r="C25" s="140" t="s">
        <v>313</v>
      </c>
      <c r="D25" s="141"/>
      <c r="E25" s="142" t="s">
        <v>60</v>
      </c>
      <c r="F25" s="143"/>
      <c r="G25" s="143"/>
      <c r="I25" s="144"/>
    </row>
    <row r="26" spans="1:11" ht="18" customHeight="1" x14ac:dyDescent="0.2">
      <c r="A26" s="116"/>
      <c r="B26" s="117" t="s">
        <v>296</v>
      </c>
      <c r="C26" s="118" t="s">
        <v>273</v>
      </c>
      <c r="D26" s="137">
        <v>3.5</v>
      </c>
      <c r="E26" s="120" t="s">
        <v>80</v>
      </c>
      <c r="F26" s="120">
        <v>19.38</v>
      </c>
      <c r="G26" s="121">
        <f>D26*F26</f>
        <v>67.83</v>
      </c>
      <c r="I26" s="144"/>
    </row>
    <row r="27" spans="1:11" x14ac:dyDescent="0.2">
      <c r="A27" s="116"/>
      <c r="B27" s="117"/>
      <c r="C27" s="290" t="s">
        <v>81</v>
      </c>
      <c r="D27" s="290"/>
      <c r="E27" s="118"/>
      <c r="F27" s="121"/>
      <c r="G27" s="121">
        <f>SUM(G26:G26)</f>
        <v>67.83</v>
      </c>
      <c r="I27" s="144"/>
    </row>
    <row r="28" spans="1:11" x14ac:dyDescent="0.2">
      <c r="A28" s="116"/>
      <c r="B28" s="117"/>
      <c r="C28" s="284" t="s">
        <v>259</v>
      </c>
      <c r="D28" s="285"/>
      <c r="E28" s="118"/>
      <c r="F28" s="121"/>
      <c r="G28" s="121">
        <f>G27*(1-0.2706)</f>
        <v>49.475202000000003</v>
      </c>
      <c r="I28" s="144"/>
    </row>
    <row r="29" spans="1:11" x14ac:dyDescent="0.2">
      <c r="A29" s="122"/>
      <c r="B29" s="123"/>
      <c r="C29" s="286" t="s">
        <v>82</v>
      </c>
      <c r="D29" s="286"/>
      <c r="E29" s="124"/>
      <c r="F29" s="124"/>
      <c r="G29" s="125">
        <f>(1+$G$9)*G28</f>
        <v>60.879236061</v>
      </c>
      <c r="I29" s="145">
        <f>G27*(1+$G$9)</f>
        <v>83.464814999999987</v>
      </c>
      <c r="K29" s="243"/>
    </row>
    <row r="30" spans="1:11" x14ac:dyDescent="0.2">
      <c r="I30" s="144"/>
    </row>
    <row r="31" spans="1:11" x14ac:dyDescent="0.2">
      <c r="A31" s="138" t="s">
        <v>230</v>
      </c>
      <c r="B31" s="139" t="s">
        <v>262</v>
      </c>
      <c r="C31" s="140" t="s">
        <v>255</v>
      </c>
      <c r="D31" s="141"/>
      <c r="E31" s="142" t="s">
        <v>79</v>
      </c>
      <c r="F31" s="143"/>
      <c r="G31" s="143"/>
      <c r="I31" s="144"/>
    </row>
    <row r="32" spans="1:11" x14ac:dyDescent="0.2">
      <c r="A32" s="116"/>
      <c r="B32" s="117" t="s">
        <v>296</v>
      </c>
      <c r="C32" s="118" t="s">
        <v>273</v>
      </c>
      <c r="D32" s="119">
        <v>24</v>
      </c>
      <c r="E32" s="120" t="s">
        <v>80</v>
      </c>
      <c r="F32" s="121">
        <v>19.38</v>
      </c>
      <c r="G32" s="121">
        <f>D32*F32</f>
        <v>465.12</v>
      </c>
      <c r="I32" s="144"/>
    </row>
    <row r="33" spans="1:9" x14ac:dyDescent="0.2">
      <c r="A33" s="116"/>
      <c r="B33" s="117"/>
      <c r="C33" s="290" t="s">
        <v>81</v>
      </c>
      <c r="D33" s="290"/>
      <c r="E33" s="118"/>
      <c r="F33" s="121"/>
      <c r="G33" s="121">
        <f>SUM(G32:G32)</f>
        <v>465.12</v>
      </c>
      <c r="I33" s="144"/>
    </row>
    <row r="34" spans="1:9" x14ac:dyDescent="0.2">
      <c r="A34" s="116"/>
      <c r="B34" s="117"/>
      <c r="C34" s="284" t="s">
        <v>259</v>
      </c>
      <c r="D34" s="285"/>
      <c r="E34" s="118"/>
      <c r="F34" s="121"/>
      <c r="G34" s="121">
        <f>G33*(1-0.2706)</f>
        <v>339.25852800000001</v>
      </c>
      <c r="I34" s="144"/>
    </row>
    <row r="35" spans="1:9" x14ac:dyDescent="0.2">
      <c r="A35" s="122"/>
      <c r="B35" s="123"/>
      <c r="C35" s="286" t="s">
        <v>82</v>
      </c>
      <c r="D35" s="286"/>
      <c r="E35" s="124"/>
      <c r="F35" s="124"/>
      <c r="G35" s="125">
        <f>(1+$G$9)*G34</f>
        <v>417.45761870399997</v>
      </c>
      <c r="I35" s="145">
        <f>G33*(1+$G$9)</f>
        <v>572.33015999999998</v>
      </c>
    </row>
    <row r="36" spans="1:9" x14ac:dyDescent="0.2">
      <c r="I36" s="144"/>
    </row>
    <row r="37" spans="1:9" ht="21" x14ac:dyDescent="0.2">
      <c r="A37" s="138" t="s">
        <v>231</v>
      </c>
      <c r="B37" s="139" t="s">
        <v>263</v>
      </c>
      <c r="C37" s="140" t="s">
        <v>256</v>
      </c>
      <c r="D37" s="141"/>
      <c r="E37" s="142" t="s">
        <v>59</v>
      </c>
      <c r="F37" s="143"/>
      <c r="G37" s="143"/>
      <c r="I37" s="144"/>
    </row>
    <row r="38" spans="1:9" ht="12.75" customHeight="1" x14ac:dyDescent="0.2">
      <c r="A38" s="116"/>
      <c r="B38" s="117" t="s">
        <v>302</v>
      </c>
      <c r="C38" s="118" t="s">
        <v>264</v>
      </c>
      <c r="D38" s="119" t="s">
        <v>267</v>
      </c>
      <c r="E38" s="120" t="s">
        <v>80</v>
      </c>
      <c r="F38" s="121">
        <v>19.850000000000001</v>
      </c>
      <c r="G38" s="121">
        <f t="shared" ref="G38:G40" si="2">D38*F38</f>
        <v>1.6872500000000001</v>
      </c>
      <c r="I38" s="144"/>
    </row>
    <row r="39" spans="1:9" ht="13.9" customHeight="1" x14ac:dyDescent="0.2">
      <c r="A39" s="116"/>
      <c r="B39" s="117" t="s">
        <v>303</v>
      </c>
      <c r="C39" s="118" t="s">
        <v>265</v>
      </c>
      <c r="D39" s="119" t="s">
        <v>268</v>
      </c>
      <c r="E39" s="120" t="s">
        <v>80</v>
      </c>
      <c r="F39" s="121" t="s">
        <v>270</v>
      </c>
      <c r="G39" s="121">
        <f t="shared" si="2"/>
        <v>9.9929600000000001</v>
      </c>
      <c r="I39" s="144"/>
    </row>
    <row r="40" spans="1:9" ht="31.5" x14ac:dyDescent="0.2">
      <c r="A40" s="116"/>
      <c r="B40" s="117" t="s">
        <v>304</v>
      </c>
      <c r="C40" s="118" t="s">
        <v>266</v>
      </c>
      <c r="D40" s="119" t="s">
        <v>269</v>
      </c>
      <c r="E40" s="120" t="s">
        <v>16</v>
      </c>
      <c r="F40" s="121">
        <v>15.97</v>
      </c>
      <c r="G40" s="121">
        <f t="shared" si="2"/>
        <v>23.955000000000002</v>
      </c>
      <c r="I40" s="144"/>
    </row>
    <row r="41" spans="1:9" x14ac:dyDescent="0.2">
      <c r="A41" s="116"/>
      <c r="B41" s="117"/>
      <c r="C41" s="290" t="s">
        <v>81</v>
      </c>
      <c r="D41" s="290"/>
      <c r="E41" s="118"/>
      <c r="F41" s="121"/>
      <c r="G41" s="121">
        <f>SUM(G38:G40)</f>
        <v>35.635210000000001</v>
      </c>
      <c r="I41" s="144"/>
    </row>
    <row r="42" spans="1:9" x14ac:dyDescent="0.2">
      <c r="A42" s="116"/>
      <c r="B42" s="117"/>
      <c r="C42" s="284" t="s">
        <v>259</v>
      </c>
      <c r="D42" s="285"/>
      <c r="E42" s="118"/>
      <c r="F42" s="121"/>
      <c r="G42" s="121">
        <f>G41*(1-0.2706)</f>
        <v>25.992322174000002</v>
      </c>
      <c r="I42" s="144"/>
    </row>
    <row r="43" spans="1:9" x14ac:dyDescent="0.2">
      <c r="A43" s="122"/>
      <c r="B43" s="123"/>
      <c r="C43" s="286" t="s">
        <v>82</v>
      </c>
      <c r="D43" s="286"/>
      <c r="E43" s="124"/>
      <c r="F43" s="124"/>
      <c r="G43" s="125">
        <f>(1+$G$9)*G42</f>
        <v>31.983552435107001</v>
      </c>
      <c r="I43" s="145">
        <f>G41*(1+$G$9)</f>
        <v>43.849125905000001</v>
      </c>
    </row>
    <row r="44" spans="1:9" x14ac:dyDescent="0.2">
      <c r="I44" s="144"/>
    </row>
    <row r="45" spans="1:9" x14ac:dyDescent="0.2">
      <c r="I45" s="144"/>
    </row>
    <row r="46" spans="1:9" ht="31.5" x14ac:dyDescent="0.2">
      <c r="A46" s="138" t="s">
        <v>232</v>
      </c>
      <c r="B46" s="139" t="s">
        <v>271</v>
      </c>
      <c r="C46" s="140" t="s">
        <v>257</v>
      </c>
      <c r="D46" s="141"/>
      <c r="E46" s="142" t="s">
        <v>17</v>
      </c>
      <c r="F46" s="143"/>
      <c r="G46" s="143"/>
      <c r="I46" s="144"/>
    </row>
    <row r="47" spans="1:9" ht="21" x14ac:dyDescent="0.2">
      <c r="A47" s="116"/>
      <c r="B47" s="117" t="s">
        <v>305</v>
      </c>
      <c r="C47" s="118" t="s">
        <v>272</v>
      </c>
      <c r="D47" s="229" t="s">
        <v>274</v>
      </c>
      <c r="E47" s="119" t="s">
        <v>10</v>
      </c>
      <c r="F47" s="121">
        <v>589.15</v>
      </c>
      <c r="G47" s="121">
        <f t="shared" ref="G47:G49" si="3">D47*F47</f>
        <v>4.4304079999999999</v>
      </c>
      <c r="I47" s="144"/>
    </row>
    <row r="48" spans="1:9" x14ac:dyDescent="0.2">
      <c r="A48" s="116"/>
      <c r="B48" s="117" t="s">
        <v>295</v>
      </c>
      <c r="C48" s="118" t="s">
        <v>294</v>
      </c>
      <c r="D48" s="229" t="s">
        <v>275</v>
      </c>
      <c r="E48" s="119" t="s">
        <v>80</v>
      </c>
      <c r="F48" s="121">
        <v>23.68</v>
      </c>
      <c r="G48" s="121">
        <f t="shared" si="3"/>
        <v>11.1296</v>
      </c>
      <c r="I48" s="144"/>
    </row>
    <row r="49" spans="1:9" x14ac:dyDescent="0.2">
      <c r="A49" s="116"/>
      <c r="B49" s="117" t="s">
        <v>296</v>
      </c>
      <c r="C49" s="118" t="s">
        <v>273</v>
      </c>
      <c r="D49" s="230" t="s">
        <v>276</v>
      </c>
      <c r="E49" s="119" t="s">
        <v>80</v>
      </c>
      <c r="F49" s="121">
        <v>19.38</v>
      </c>
      <c r="G49" s="121">
        <f t="shared" si="3"/>
        <v>3.3139799999999999</v>
      </c>
      <c r="I49" s="144"/>
    </row>
    <row r="50" spans="1:9" x14ac:dyDescent="0.2">
      <c r="A50" s="116"/>
      <c r="B50" s="117"/>
      <c r="C50" s="290" t="s">
        <v>81</v>
      </c>
      <c r="D50" s="290"/>
      <c r="E50" s="118"/>
      <c r="F50" s="121"/>
      <c r="G50" s="121">
        <f>SUM(G47:G49)</f>
        <v>18.873988000000001</v>
      </c>
      <c r="I50" s="144"/>
    </row>
    <row r="51" spans="1:9" x14ac:dyDescent="0.2">
      <c r="A51" s="116"/>
      <c r="B51" s="117"/>
      <c r="C51" s="284" t="s">
        <v>259</v>
      </c>
      <c r="D51" s="285"/>
      <c r="E51" s="118"/>
      <c r="F51" s="121"/>
      <c r="G51" s="121">
        <f>G50*(1-0.2706)</f>
        <v>13.766686847200001</v>
      </c>
      <c r="I51" s="144"/>
    </row>
    <row r="52" spans="1:9" x14ac:dyDescent="0.2">
      <c r="A52" s="122"/>
      <c r="B52" s="123"/>
      <c r="C52" s="286" t="s">
        <v>82</v>
      </c>
      <c r="D52" s="286"/>
      <c r="E52" s="124"/>
      <c r="F52" s="124"/>
      <c r="G52" s="125">
        <f>(1+$G$9)*G51</f>
        <v>16.939908165479601</v>
      </c>
      <c r="I52" s="145">
        <f>G50*(1+$G$9)</f>
        <v>23.224442233999998</v>
      </c>
    </row>
    <row r="53" spans="1:9" x14ac:dyDescent="0.2">
      <c r="I53" s="144"/>
    </row>
    <row r="54" spans="1:9" x14ac:dyDescent="0.2">
      <c r="A54" s="138" t="s">
        <v>233</v>
      </c>
      <c r="B54" s="139" t="s">
        <v>306</v>
      </c>
      <c r="C54" s="140" t="s">
        <v>277</v>
      </c>
      <c r="D54" s="141"/>
      <c r="E54" s="142" t="s">
        <v>59</v>
      </c>
      <c r="F54" s="143"/>
      <c r="G54" s="143"/>
      <c r="I54" s="144"/>
    </row>
    <row r="55" spans="1:9" x14ac:dyDescent="0.2">
      <c r="A55" s="116"/>
      <c r="B55" s="120" t="s">
        <v>307</v>
      </c>
      <c r="C55" s="118" t="s">
        <v>279</v>
      </c>
      <c r="D55" s="231">
        <v>0.7</v>
      </c>
      <c r="E55" s="120" t="s">
        <v>278</v>
      </c>
      <c r="F55" s="121">
        <v>3.11</v>
      </c>
      <c r="G55" s="121">
        <f t="shared" ref="G55:G57" si="4">D55*F55</f>
        <v>2.1769999999999996</v>
      </c>
      <c r="I55" s="144"/>
    </row>
    <row r="56" spans="1:9" x14ac:dyDescent="0.2">
      <c r="A56" s="116"/>
      <c r="B56" s="117" t="s">
        <v>295</v>
      </c>
      <c r="C56" s="118" t="s">
        <v>294</v>
      </c>
      <c r="D56" s="231">
        <v>0.14000000000000001</v>
      </c>
      <c r="E56" s="120" t="s">
        <v>80</v>
      </c>
      <c r="F56" s="121">
        <v>23.68</v>
      </c>
      <c r="G56" s="121">
        <f t="shared" si="4"/>
        <v>3.3152000000000004</v>
      </c>
      <c r="I56" s="144"/>
    </row>
    <row r="57" spans="1:9" x14ac:dyDescent="0.2">
      <c r="A57" s="116"/>
      <c r="B57" s="117" t="s">
        <v>296</v>
      </c>
      <c r="C57" s="118" t="s">
        <v>273</v>
      </c>
      <c r="D57" s="231">
        <v>0.14000000000000001</v>
      </c>
      <c r="E57" s="120" t="s">
        <v>80</v>
      </c>
      <c r="F57" s="121">
        <v>19.38</v>
      </c>
      <c r="G57" s="121">
        <f t="shared" si="4"/>
        <v>2.7132000000000001</v>
      </c>
      <c r="I57" s="144"/>
    </row>
    <row r="58" spans="1:9" x14ac:dyDescent="0.2">
      <c r="A58" s="116"/>
      <c r="B58" s="117"/>
      <c r="C58" s="290" t="s">
        <v>81</v>
      </c>
      <c r="D58" s="290"/>
      <c r="E58" s="118"/>
      <c r="F58" s="121"/>
      <c r="G58" s="121">
        <f>SUM(G55:G57)</f>
        <v>8.2054000000000009</v>
      </c>
      <c r="I58" s="144"/>
    </row>
    <row r="59" spans="1:9" x14ac:dyDescent="0.2">
      <c r="A59" s="116"/>
      <c r="B59" s="117"/>
      <c r="C59" s="284" t="s">
        <v>259</v>
      </c>
      <c r="D59" s="285"/>
      <c r="E59" s="118"/>
      <c r="F59" s="121"/>
      <c r="G59" s="121">
        <f>G58*(1-0.2706)</f>
        <v>5.9850187600000009</v>
      </c>
      <c r="I59" s="144"/>
    </row>
    <row r="60" spans="1:9" x14ac:dyDescent="0.2">
      <c r="A60" s="122"/>
      <c r="B60" s="123"/>
      <c r="C60" s="286" t="s">
        <v>82</v>
      </c>
      <c r="D60" s="286"/>
      <c r="E60" s="124"/>
      <c r="F60" s="124"/>
      <c r="G60" s="125">
        <f>(1+$G$9)*G59</f>
        <v>7.3645655841800011</v>
      </c>
      <c r="I60" s="145">
        <f>G58*(1+$G$9)</f>
        <v>10.0967447</v>
      </c>
    </row>
    <row r="61" spans="1:9" x14ac:dyDescent="0.2">
      <c r="I61" s="144"/>
    </row>
    <row r="62" spans="1:9" ht="42" x14ac:dyDescent="0.2">
      <c r="A62" s="138" t="s">
        <v>234</v>
      </c>
      <c r="B62" s="139" t="s">
        <v>308</v>
      </c>
      <c r="C62" s="140" t="s">
        <v>280</v>
      </c>
      <c r="D62" s="141"/>
      <c r="E62" s="142" t="s">
        <v>59</v>
      </c>
      <c r="F62" s="143"/>
      <c r="G62" s="143"/>
      <c r="I62" s="144"/>
    </row>
    <row r="63" spans="1:9" ht="31.5" x14ac:dyDescent="0.2">
      <c r="A63" s="116"/>
      <c r="B63" s="117" t="s">
        <v>308</v>
      </c>
      <c r="C63" s="118" t="s">
        <v>280</v>
      </c>
      <c r="D63" s="214">
        <v>1</v>
      </c>
      <c r="E63" s="120" t="s">
        <v>5</v>
      </c>
      <c r="F63" s="120">
        <v>35.08</v>
      </c>
      <c r="G63" s="121">
        <f t="shared" ref="G63" si="5">D63*F63</f>
        <v>35.08</v>
      </c>
      <c r="I63" s="144"/>
    </row>
    <row r="64" spans="1:9" x14ac:dyDescent="0.2">
      <c r="A64" s="116"/>
      <c r="B64" s="117"/>
      <c r="C64" s="290" t="s">
        <v>81</v>
      </c>
      <c r="D64" s="290"/>
      <c r="E64" s="118"/>
      <c r="F64" s="121"/>
      <c r="G64" s="121">
        <f>SUM(G63:G63)</f>
        <v>35.08</v>
      </c>
      <c r="I64" s="144"/>
    </row>
    <row r="65" spans="1:9" x14ac:dyDescent="0.2">
      <c r="A65" s="116"/>
      <c r="B65" s="117"/>
      <c r="C65" s="284" t="s">
        <v>259</v>
      </c>
      <c r="D65" s="285"/>
      <c r="E65" s="118"/>
      <c r="F65" s="121"/>
      <c r="G65" s="121">
        <f>G64*(1-0.2706)</f>
        <v>25.587351999999999</v>
      </c>
      <c r="I65" s="144"/>
    </row>
    <row r="66" spans="1:9" x14ac:dyDescent="0.2">
      <c r="A66" s="122"/>
      <c r="B66" s="123"/>
      <c r="C66" s="286" t="s">
        <v>82</v>
      </c>
      <c r="D66" s="286"/>
      <c r="E66" s="124"/>
      <c r="F66" s="124"/>
      <c r="G66" s="125">
        <f>(1+$G$9)*G65</f>
        <v>31.485236635999996</v>
      </c>
      <c r="I66" s="145">
        <f>G64*(1+$G$9)</f>
        <v>43.165939999999992</v>
      </c>
    </row>
    <row r="67" spans="1:9" x14ac:dyDescent="0.2">
      <c r="I67" s="144"/>
    </row>
    <row r="68" spans="1:9" ht="42" x14ac:dyDescent="0.2">
      <c r="A68" s="138" t="s">
        <v>235</v>
      </c>
      <c r="B68" s="139" t="s">
        <v>281</v>
      </c>
      <c r="C68" s="140" t="s">
        <v>282</v>
      </c>
      <c r="D68" s="141"/>
      <c r="E68" s="142" t="s">
        <v>79</v>
      </c>
      <c r="F68" s="143"/>
      <c r="G68" s="143"/>
      <c r="I68" s="144"/>
    </row>
    <row r="69" spans="1:9" ht="42" x14ac:dyDescent="0.2">
      <c r="A69" s="116"/>
      <c r="B69" s="117" t="s">
        <v>281</v>
      </c>
      <c r="C69" s="118" t="s">
        <v>282</v>
      </c>
      <c r="D69" s="119">
        <v>1</v>
      </c>
      <c r="E69" s="120" t="s">
        <v>79</v>
      </c>
      <c r="F69" s="121">
        <v>399.2</v>
      </c>
      <c r="G69" s="121">
        <f>D69*F69</f>
        <v>399.2</v>
      </c>
      <c r="I69" s="144"/>
    </row>
    <row r="70" spans="1:9" x14ac:dyDescent="0.2">
      <c r="A70" s="116"/>
      <c r="B70" s="117"/>
      <c r="C70" s="290" t="s">
        <v>81</v>
      </c>
      <c r="D70" s="290"/>
      <c r="E70" s="118"/>
      <c r="F70" s="121"/>
      <c r="G70" s="121">
        <f>SUM(G69:G69)</f>
        <v>399.2</v>
      </c>
      <c r="I70" s="144"/>
    </row>
    <row r="71" spans="1:9" x14ac:dyDescent="0.2">
      <c r="A71" s="116"/>
      <c r="B71" s="117"/>
      <c r="C71" s="284" t="s">
        <v>259</v>
      </c>
      <c r="D71" s="285"/>
      <c r="E71" s="118"/>
      <c r="F71" s="121"/>
      <c r="G71" s="121">
        <f>G70*(1-0.2706)</f>
        <v>291.17648000000003</v>
      </c>
      <c r="I71" s="144"/>
    </row>
    <row r="72" spans="1:9" x14ac:dyDescent="0.2">
      <c r="A72" s="122"/>
      <c r="B72" s="123"/>
      <c r="C72" s="286" t="s">
        <v>82</v>
      </c>
      <c r="D72" s="286"/>
      <c r="E72" s="124"/>
      <c r="F72" s="124"/>
      <c r="G72" s="125">
        <f>(1+$G$9)*G71</f>
        <v>358.29265864000001</v>
      </c>
      <c r="I72" s="145">
        <f>G70*(1+$G$9)</f>
        <v>491.21559999999994</v>
      </c>
    </row>
    <row r="73" spans="1:9" x14ac:dyDescent="0.2">
      <c r="I73" s="144"/>
    </row>
    <row r="74" spans="1:9" ht="29.25" customHeight="1" x14ac:dyDescent="0.2">
      <c r="A74" s="138" t="s">
        <v>236</v>
      </c>
      <c r="B74" s="139"/>
      <c r="C74" s="140" t="s">
        <v>283</v>
      </c>
      <c r="D74" s="141"/>
      <c r="E74" s="142" t="s">
        <v>17</v>
      </c>
      <c r="F74" s="143"/>
      <c r="G74" s="143"/>
      <c r="I74" s="144"/>
    </row>
    <row r="75" spans="1:9" x14ac:dyDescent="0.2">
      <c r="A75" s="116"/>
      <c r="B75" s="117" t="s">
        <v>309</v>
      </c>
      <c r="C75" s="118" t="s">
        <v>284</v>
      </c>
      <c r="D75" s="137" t="s">
        <v>287</v>
      </c>
      <c r="E75" s="120" t="s">
        <v>80</v>
      </c>
      <c r="F75" s="121">
        <v>23.9</v>
      </c>
      <c r="G75" s="121">
        <f t="shared" ref="G75:G78" si="6">D75*F75</f>
        <v>8.1570699999999992</v>
      </c>
      <c r="I75" s="144"/>
    </row>
    <row r="76" spans="1:9" x14ac:dyDescent="0.2">
      <c r="A76" s="116"/>
      <c r="B76" s="117" t="s">
        <v>310</v>
      </c>
      <c r="C76" s="118" t="s">
        <v>273</v>
      </c>
      <c r="D76" s="137" t="s">
        <v>288</v>
      </c>
      <c r="E76" s="120" t="s">
        <v>80</v>
      </c>
      <c r="F76" s="121" t="s">
        <v>289</v>
      </c>
      <c r="G76" s="121">
        <f t="shared" si="6"/>
        <v>2.1162960000000002</v>
      </c>
      <c r="I76" s="144"/>
    </row>
    <row r="77" spans="1:9" ht="21" x14ac:dyDescent="0.2">
      <c r="A77" s="116"/>
      <c r="B77" s="117" t="s">
        <v>311</v>
      </c>
      <c r="C77" s="118" t="s">
        <v>285</v>
      </c>
      <c r="D77" s="137" t="s">
        <v>290</v>
      </c>
      <c r="E77" s="120" t="s">
        <v>6</v>
      </c>
      <c r="F77" s="121">
        <v>22.23</v>
      </c>
      <c r="G77" s="121">
        <f t="shared" si="6"/>
        <v>0.66245399999999999</v>
      </c>
      <c r="I77" s="144"/>
    </row>
    <row r="78" spans="1:9" ht="21" x14ac:dyDescent="0.2">
      <c r="A78" s="116"/>
      <c r="B78" s="117" t="s">
        <v>312</v>
      </c>
      <c r="C78" s="118" t="s">
        <v>286</v>
      </c>
      <c r="D78" s="137" t="s">
        <v>291</v>
      </c>
      <c r="E78" s="120" t="s">
        <v>17</v>
      </c>
      <c r="F78" s="121">
        <v>41.41</v>
      </c>
      <c r="G78" s="121">
        <f t="shared" si="6"/>
        <v>43.480499999999999</v>
      </c>
      <c r="I78" s="144"/>
    </row>
    <row r="79" spans="1:9" x14ac:dyDescent="0.2">
      <c r="A79" s="116"/>
      <c r="B79" s="117"/>
      <c r="C79" s="290" t="s">
        <v>81</v>
      </c>
      <c r="D79" s="290"/>
      <c r="E79" s="118"/>
      <c r="F79" s="121"/>
      <c r="G79" s="121">
        <f>SUM(G75:G78)</f>
        <v>54.416319999999999</v>
      </c>
      <c r="I79" s="144"/>
    </row>
    <row r="80" spans="1:9" x14ac:dyDescent="0.2">
      <c r="A80" s="116"/>
      <c r="B80" s="117"/>
      <c r="C80" s="284" t="s">
        <v>259</v>
      </c>
      <c r="D80" s="285"/>
      <c r="E80" s="118"/>
      <c r="F80" s="121"/>
      <c r="G80" s="121">
        <f>G79*(1-0.2706)</f>
        <v>39.691263808000002</v>
      </c>
      <c r="I80" s="144"/>
    </row>
    <row r="81" spans="1:9" x14ac:dyDescent="0.2">
      <c r="A81" s="122"/>
      <c r="B81" s="123"/>
      <c r="C81" s="286" t="s">
        <v>82</v>
      </c>
      <c r="D81" s="286"/>
      <c r="E81" s="124"/>
      <c r="F81" s="124"/>
      <c r="G81" s="125">
        <f>(1+$G$9)*G80</f>
        <v>48.840100115744001</v>
      </c>
      <c r="I81" s="145">
        <f>G79*(1+$G$9)</f>
        <v>66.959281759999996</v>
      </c>
    </row>
    <row r="82" spans="1:9" x14ac:dyDescent="0.2">
      <c r="I82" s="144"/>
    </row>
    <row r="83" spans="1:9" x14ac:dyDescent="0.2">
      <c r="I83" s="147"/>
    </row>
  </sheetData>
  <mergeCells count="35">
    <mergeCell ref="C80:D80"/>
    <mergeCell ref="C81:D81"/>
    <mergeCell ref="C70:D70"/>
    <mergeCell ref="C65:D65"/>
    <mergeCell ref="C66:D66"/>
    <mergeCell ref="C71:D71"/>
    <mergeCell ref="C72:D72"/>
    <mergeCell ref="C79:D79"/>
    <mergeCell ref="C51:D51"/>
    <mergeCell ref="C15:D15"/>
    <mergeCell ref="C21:D21"/>
    <mergeCell ref="C22:D22"/>
    <mergeCell ref="C27:D27"/>
    <mergeCell ref="C28:D28"/>
    <mergeCell ref="C29:D29"/>
    <mergeCell ref="C42:D42"/>
    <mergeCell ref="C43:D43"/>
    <mergeCell ref="C33:D33"/>
    <mergeCell ref="C34:D34"/>
    <mergeCell ref="C35:D35"/>
    <mergeCell ref="C41:D41"/>
    <mergeCell ref="C50:D50"/>
    <mergeCell ref="C52:D52"/>
    <mergeCell ref="C58:D58"/>
    <mergeCell ref="C59:D59"/>
    <mergeCell ref="C60:D60"/>
    <mergeCell ref="C64:D64"/>
    <mergeCell ref="C14:D14"/>
    <mergeCell ref="C16:D16"/>
    <mergeCell ref="C23:D23"/>
    <mergeCell ref="C1:G1"/>
    <mergeCell ref="C3:G3"/>
    <mergeCell ref="C4:G4"/>
    <mergeCell ref="C5:G5"/>
    <mergeCell ref="C6:G6"/>
  </mergeCells>
  <phoneticPr fontId="37" type="noConversion"/>
  <pageMargins left="0.51181102362204722" right="0.51181102362204722" top="0.78740157480314965" bottom="0.78740157480314965" header="0.31496062992125984" footer="0.31496062992125984"/>
  <pageSetup paperSize="9" scale="65" fitToHeight="0" orientation="portrait" verticalDpi="300" r:id="rId1"/>
  <ignoredErrors>
    <ignoredError sqref="D39:F39 D47:E47 D48:E49 D38:E38 D40:E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FFFF00"/>
    <pageSetUpPr fitToPage="1"/>
  </sheetPr>
  <dimension ref="A1:M112"/>
  <sheetViews>
    <sheetView showZeros="0" zoomScaleNormal="100" workbookViewId="0">
      <selection activeCell="A6" sqref="A6:K6"/>
    </sheetView>
  </sheetViews>
  <sheetFormatPr defaultColWidth="9" defaultRowHeight="10.5" x14ac:dyDescent="0.2"/>
  <cols>
    <col min="1" max="1" width="11.125" style="103" customWidth="1"/>
    <col min="2" max="2" width="40" style="103" customWidth="1"/>
    <col min="3" max="3" width="7.625" style="103" customWidth="1"/>
    <col min="4" max="4" width="13.75" style="127" customWidth="1"/>
    <col min="5" max="5" width="16.125" style="127" customWidth="1"/>
    <col min="6" max="6" width="17.125" style="127" customWidth="1"/>
    <col min="7" max="7" width="16.5" style="127" customWidth="1"/>
    <col min="8" max="8" width="14.5" style="127" customWidth="1"/>
    <col min="9" max="9" width="10.625" style="127" customWidth="1"/>
    <col min="10" max="10" width="15.75" style="127" customWidth="1"/>
    <col min="11" max="11" width="15" style="127" customWidth="1"/>
    <col min="12" max="12" width="12" style="103" customWidth="1"/>
    <col min="13" max="13" width="15.75" style="103" bestFit="1" customWidth="1"/>
    <col min="14" max="14" width="9.125" style="103" bestFit="1" customWidth="1"/>
    <col min="15" max="15" width="9.875" style="103" bestFit="1" customWidth="1"/>
    <col min="16" max="16384" width="9" style="103"/>
  </cols>
  <sheetData>
    <row r="1" spans="1:13" x14ac:dyDescent="0.2">
      <c r="A1" s="127"/>
    </row>
    <row r="2" spans="1:13" ht="12" customHeight="1" x14ac:dyDescent="0.2">
      <c r="A2" s="294" t="s">
        <v>85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spans="1:13" ht="12" customHeight="1" x14ac:dyDescent="0.2">
      <c r="A3" s="295" t="str">
        <f>'01_PLANILHA_ADEQUAÇÃO'!A3:L3</f>
        <v>OBRA: CONSTRUÇÃO DO MURO FRONTAL DO PARQUE TECNOLÓGICO - CAMPUS MOSSORÓ/RN (1ª ETAPA DA OBRA)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</row>
    <row r="4" spans="1:13" ht="12" customHeight="1" x14ac:dyDescent="0.2">
      <c r="A4" s="297" t="s">
        <v>86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</row>
    <row r="5" spans="1:13" ht="14.45" customHeight="1" x14ac:dyDescent="0.2">
      <c r="A5" s="211" t="str">
        <f>'01_PLANILHA_ADEQUAÇÃO'!A5:L5</f>
        <v>CONTRATO: 34/2022.</v>
      </c>
    </row>
    <row r="6" spans="1:13" ht="12" customHeight="1" x14ac:dyDescent="0.2">
      <c r="A6" s="298" t="str">
        <f>'01_PLANILHA_ADEQUAÇÃO'!A6:L6</f>
        <v>Data: 01 de Dezembro de 2022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</row>
    <row r="7" spans="1:13" ht="12" customHeight="1" x14ac:dyDescent="0.2">
      <c r="A7" s="149"/>
      <c r="B7" s="150"/>
      <c r="C7" s="151"/>
      <c r="D7" s="152"/>
      <c r="E7" s="152"/>
      <c r="F7" s="152"/>
      <c r="G7" s="152"/>
      <c r="H7" s="152"/>
      <c r="I7" s="152"/>
      <c r="J7" s="152"/>
      <c r="K7" s="152"/>
    </row>
    <row r="8" spans="1:13" ht="12" customHeight="1" x14ac:dyDescent="0.2">
      <c r="A8" s="291" t="s">
        <v>87</v>
      </c>
      <c r="B8" s="292"/>
      <c r="C8" s="292"/>
      <c r="D8" s="292"/>
      <c r="E8" s="292"/>
      <c r="F8" s="292"/>
      <c r="G8" s="292"/>
      <c r="H8" s="292"/>
      <c r="I8" s="292"/>
      <c r="J8" s="292"/>
      <c r="K8" s="293"/>
    </row>
    <row r="9" spans="1:13" ht="12" customHeight="1" x14ac:dyDescent="0.2">
      <c r="A9" s="153"/>
      <c r="B9" s="150"/>
      <c r="C9" s="151"/>
      <c r="D9" s="152"/>
      <c r="E9" s="152"/>
      <c r="F9" s="152"/>
      <c r="G9" s="152"/>
      <c r="H9" s="152"/>
      <c r="I9" s="152"/>
      <c r="J9" s="152"/>
      <c r="K9" s="154"/>
    </row>
    <row r="10" spans="1:13" ht="15" customHeight="1" x14ac:dyDescent="0.2">
      <c r="A10" s="299" t="s">
        <v>31</v>
      </c>
      <c r="B10" s="301" t="s">
        <v>88</v>
      </c>
      <c r="C10" s="303" t="s">
        <v>29</v>
      </c>
      <c r="D10" s="305" t="s">
        <v>89</v>
      </c>
      <c r="E10" s="306"/>
      <c r="F10" s="306"/>
      <c r="G10" s="306"/>
      <c r="H10" s="307"/>
      <c r="I10" s="308" t="s">
        <v>90</v>
      </c>
      <c r="J10" s="309"/>
      <c r="K10" s="310"/>
    </row>
    <row r="11" spans="1:13" ht="11.25" customHeight="1" x14ac:dyDescent="0.2">
      <c r="A11" s="300"/>
      <c r="B11" s="302"/>
      <c r="C11" s="304"/>
      <c r="D11" s="311" t="s">
        <v>91</v>
      </c>
      <c r="E11" s="314" t="s">
        <v>92</v>
      </c>
      <c r="F11" s="315"/>
      <c r="G11" s="314" t="s">
        <v>93</v>
      </c>
      <c r="H11" s="316"/>
      <c r="I11" s="311" t="s">
        <v>94</v>
      </c>
      <c r="J11" s="319" t="s">
        <v>95</v>
      </c>
      <c r="K11" s="323" t="s">
        <v>93</v>
      </c>
    </row>
    <row r="12" spans="1:13" ht="17.25" customHeight="1" x14ac:dyDescent="0.2">
      <c r="A12" s="300"/>
      <c r="B12" s="302"/>
      <c r="C12" s="304"/>
      <c r="D12" s="312"/>
      <c r="E12" s="317" t="s">
        <v>96</v>
      </c>
      <c r="F12" s="325"/>
      <c r="G12" s="317"/>
      <c r="H12" s="318"/>
      <c r="I12" s="312"/>
      <c r="J12" s="320"/>
      <c r="K12" s="324"/>
    </row>
    <row r="13" spans="1:13" ht="21" x14ac:dyDescent="0.2">
      <c r="A13" s="300"/>
      <c r="B13" s="302"/>
      <c r="C13" s="304"/>
      <c r="D13" s="313"/>
      <c r="E13" s="155" t="s">
        <v>97</v>
      </c>
      <c r="F13" s="156" t="s">
        <v>98</v>
      </c>
      <c r="G13" s="125" t="s">
        <v>97</v>
      </c>
      <c r="H13" s="157" t="s">
        <v>98</v>
      </c>
      <c r="I13" s="313"/>
      <c r="J13" s="156" t="s">
        <v>98</v>
      </c>
      <c r="K13" s="157" t="s">
        <v>98</v>
      </c>
    </row>
    <row r="14" spans="1:13" ht="15" customHeight="1" x14ac:dyDescent="0.2">
      <c r="A14" s="158" t="s">
        <v>2</v>
      </c>
      <c r="B14" s="159" t="s">
        <v>115</v>
      </c>
      <c r="C14" s="160"/>
      <c r="D14" s="161"/>
      <c r="E14" s="162"/>
      <c r="F14" s="163">
        <f>SUM(F16:F24)</f>
        <v>11438.2</v>
      </c>
      <c r="G14" s="162"/>
      <c r="H14" s="164">
        <f>SUM(H16:H24)</f>
        <v>15038.410000000002</v>
      </c>
      <c r="I14" s="165"/>
      <c r="J14" s="164">
        <f>SUM(J16:J24)</f>
        <v>11438.2</v>
      </c>
      <c r="K14" s="164">
        <f>SUM(K16:K24)</f>
        <v>15038.410000000002</v>
      </c>
      <c r="M14" s="168"/>
    </row>
    <row r="15" spans="1:13" x14ac:dyDescent="0.2">
      <c r="A15" s="158" t="s">
        <v>4</v>
      </c>
      <c r="B15" s="159" t="s">
        <v>3</v>
      </c>
      <c r="C15" s="160"/>
      <c r="D15" s="161"/>
      <c r="E15" s="162"/>
      <c r="F15" s="163"/>
      <c r="G15" s="162"/>
      <c r="H15" s="164"/>
      <c r="I15" s="165"/>
      <c r="J15" s="166"/>
      <c r="K15" s="167"/>
      <c r="M15" s="168"/>
    </row>
    <row r="16" spans="1:13" ht="21" x14ac:dyDescent="0.2">
      <c r="A16" s="169" t="s">
        <v>116</v>
      </c>
      <c r="B16" s="118" t="s">
        <v>117</v>
      </c>
      <c r="C16" s="170" t="s">
        <v>5</v>
      </c>
      <c r="D16" s="171">
        <v>849.73</v>
      </c>
      <c r="E16" s="171">
        <v>3.07</v>
      </c>
      <c r="F16" s="171">
        <f>TRUNC(D16*E16,2)</f>
        <v>2608.67</v>
      </c>
      <c r="G16" s="172">
        <v>3.51</v>
      </c>
      <c r="H16" s="174">
        <f t="shared" ref="H16:H80" si="0">TRUNC($D16*G16,2)</f>
        <v>2982.55</v>
      </c>
      <c r="I16" s="175">
        <v>849.73</v>
      </c>
      <c r="J16" s="173">
        <f>TRUNC($I16*E16,2)</f>
        <v>2608.67</v>
      </c>
      <c r="K16" s="176">
        <f t="shared" ref="K16:K78" si="1">TRUNC($I16*G16,2)</f>
        <v>2982.55</v>
      </c>
      <c r="M16" s="168"/>
    </row>
    <row r="17" spans="1:13" ht="21" x14ac:dyDescent="0.2">
      <c r="A17" s="169" t="s">
        <v>118</v>
      </c>
      <c r="B17" s="118" t="s">
        <v>119</v>
      </c>
      <c r="C17" s="170" t="s">
        <v>5</v>
      </c>
      <c r="D17" s="171">
        <v>6</v>
      </c>
      <c r="E17" s="171">
        <v>270.48</v>
      </c>
      <c r="F17" s="171">
        <f t="shared" ref="F17:F80" si="2">TRUNC(D17*E17,2)</f>
        <v>1622.88</v>
      </c>
      <c r="G17" s="214">
        <v>398.58</v>
      </c>
      <c r="H17" s="174">
        <f t="shared" si="0"/>
        <v>2391.48</v>
      </c>
      <c r="I17" s="175">
        <v>6</v>
      </c>
      <c r="J17" s="173">
        <f t="shared" ref="J17:J80" si="3">TRUNC($I17*E17,2)</f>
        <v>1622.88</v>
      </c>
      <c r="K17" s="176">
        <f t="shared" si="1"/>
        <v>2391.48</v>
      </c>
      <c r="M17" s="168"/>
    </row>
    <row r="18" spans="1:13" ht="21" x14ac:dyDescent="0.2">
      <c r="A18" s="169" t="s">
        <v>120</v>
      </c>
      <c r="B18" s="118" t="s">
        <v>121</v>
      </c>
      <c r="C18" s="170" t="s">
        <v>6</v>
      </c>
      <c r="D18" s="171">
        <v>3</v>
      </c>
      <c r="E18" s="171">
        <v>135.41</v>
      </c>
      <c r="F18" s="171">
        <f t="shared" si="2"/>
        <v>406.23</v>
      </c>
      <c r="G18" s="214">
        <v>175.06</v>
      </c>
      <c r="H18" s="174">
        <f t="shared" si="0"/>
        <v>525.17999999999995</v>
      </c>
      <c r="I18" s="175">
        <v>3</v>
      </c>
      <c r="J18" s="173">
        <f t="shared" si="3"/>
        <v>406.23</v>
      </c>
      <c r="K18" s="176">
        <f t="shared" si="1"/>
        <v>525.17999999999995</v>
      </c>
      <c r="M18" s="168"/>
    </row>
    <row r="19" spans="1:13" ht="21" x14ac:dyDescent="0.2">
      <c r="A19" s="169" t="s">
        <v>122</v>
      </c>
      <c r="B19" s="118" t="s">
        <v>123</v>
      </c>
      <c r="C19" s="170" t="s">
        <v>7</v>
      </c>
      <c r="D19" s="171">
        <v>30</v>
      </c>
      <c r="E19" s="171">
        <v>2.86</v>
      </c>
      <c r="F19" s="171">
        <f t="shared" si="2"/>
        <v>85.8</v>
      </c>
      <c r="G19" s="214">
        <v>4.5199999999999996</v>
      </c>
      <c r="H19" s="174">
        <f t="shared" si="0"/>
        <v>135.6</v>
      </c>
      <c r="I19" s="175">
        <v>30</v>
      </c>
      <c r="J19" s="173">
        <f t="shared" si="3"/>
        <v>85.8</v>
      </c>
      <c r="K19" s="176">
        <f t="shared" si="1"/>
        <v>135.6</v>
      </c>
      <c r="M19" s="168"/>
    </row>
    <row r="20" spans="1:13" ht="21" x14ac:dyDescent="0.2">
      <c r="A20" s="169" t="s">
        <v>124</v>
      </c>
      <c r="B20" s="118" t="s">
        <v>125</v>
      </c>
      <c r="C20" s="170" t="s">
        <v>7</v>
      </c>
      <c r="D20" s="171">
        <v>30</v>
      </c>
      <c r="E20" s="171">
        <v>2.86</v>
      </c>
      <c r="F20" s="171">
        <f t="shared" si="2"/>
        <v>85.8</v>
      </c>
      <c r="G20" s="214">
        <v>4.5199999999999996</v>
      </c>
      <c r="H20" s="174">
        <f t="shared" si="0"/>
        <v>135.6</v>
      </c>
      <c r="I20" s="175">
        <v>30</v>
      </c>
      <c r="J20" s="173">
        <f t="shared" si="3"/>
        <v>85.8</v>
      </c>
      <c r="K20" s="176">
        <f t="shared" si="1"/>
        <v>135.6</v>
      </c>
      <c r="M20" s="168"/>
    </row>
    <row r="21" spans="1:13" ht="52.5" x14ac:dyDescent="0.2">
      <c r="A21" s="169" t="s">
        <v>126</v>
      </c>
      <c r="B21" s="118" t="s">
        <v>127</v>
      </c>
      <c r="C21" s="170" t="s">
        <v>47</v>
      </c>
      <c r="D21" s="171">
        <v>3</v>
      </c>
      <c r="E21" s="171">
        <v>695.92</v>
      </c>
      <c r="F21" s="171">
        <f t="shared" si="2"/>
        <v>2087.7600000000002</v>
      </c>
      <c r="G21" s="214">
        <v>1097.95</v>
      </c>
      <c r="H21" s="174">
        <f t="shared" si="0"/>
        <v>3293.85</v>
      </c>
      <c r="I21" s="175">
        <v>3</v>
      </c>
      <c r="J21" s="173">
        <f t="shared" si="3"/>
        <v>2087.7600000000002</v>
      </c>
      <c r="K21" s="176">
        <f t="shared" si="1"/>
        <v>3293.85</v>
      </c>
      <c r="M21" s="168"/>
    </row>
    <row r="22" spans="1:13" ht="21" x14ac:dyDescent="0.2">
      <c r="A22" s="169" t="s">
        <v>128</v>
      </c>
      <c r="B22" s="118" t="s">
        <v>129</v>
      </c>
      <c r="C22" s="170" t="s">
        <v>61</v>
      </c>
      <c r="D22" s="171">
        <v>96.89</v>
      </c>
      <c r="E22" s="171">
        <v>8.83</v>
      </c>
      <c r="F22" s="171">
        <f t="shared" si="2"/>
        <v>855.53</v>
      </c>
      <c r="G22" s="172">
        <v>13.94</v>
      </c>
      <c r="H22" s="174">
        <f t="shared" si="0"/>
        <v>1350.64</v>
      </c>
      <c r="I22" s="175">
        <v>96.89</v>
      </c>
      <c r="J22" s="173">
        <f t="shared" si="3"/>
        <v>855.53</v>
      </c>
      <c r="K22" s="176">
        <f t="shared" si="1"/>
        <v>1350.64</v>
      </c>
      <c r="M22" s="168"/>
    </row>
    <row r="23" spans="1:13" ht="21" x14ac:dyDescent="0.2">
      <c r="A23" s="169" t="s">
        <v>130</v>
      </c>
      <c r="B23" s="118" t="s">
        <v>131</v>
      </c>
      <c r="C23" s="170" t="s">
        <v>18</v>
      </c>
      <c r="D23" s="171">
        <v>96.89</v>
      </c>
      <c r="E23" s="171">
        <v>34.520000000000003</v>
      </c>
      <c r="F23" s="171">
        <f t="shared" si="2"/>
        <v>3344.64</v>
      </c>
      <c r="G23" s="172">
        <v>38.04</v>
      </c>
      <c r="H23" s="174">
        <f t="shared" si="0"/>
        <v>3685.69</v>
      </c>
      <c r="I23" s="175">
        <v>96.89</v>
      </c>
      <c r="J23" s="173">
        <f t="shared" si="3"/>
        <v>3344.64</v>
      </c>
      <c r="K23" s="176">
        <f t="shared" si="1"/>
        <v>3685.69</v>
      </c>
      <c r="M23" s="168"/>
    </row>
    <row r="24" spans="1:13" x14ac:dyDescent="0.2">
      <c r="A24" s="169" t="s">
        <v>132</v>
      </c>
      <c r="B24" s="118" t="s">
        <v>133</v>
      </c>
      <c r="C24" s="170" t="s">
        <v>79</v>
      </c>
      <c r="D24" s="171">
        <v>1</v>
      </c>
      <c r="E24" s="171">
        <v>340.89</v>
      </c>
      <c r="F24" s="171">
        <f t="shared" si="2"/>
        <v>340.89</v>
      </c>
      <c r="G24" s="172">
        <v>537.82000000000005</v>
      </c>
      <c r="H24" s="174">
        <f t="shared" si="0"/>
        <v>537.82000000000005</v>
      </c>
      <c r="I24" s="175">
        <v>1</v>
      </c>
      <c r="J24" s="173">
        <f t="shared" si="3"/>
        <v>340.89</v>
      </c>
      <c r="K24" s="176">
        <f t="shared" si="1"/>
        <v>537.82000000000005</v>
      </c>
      <c r="M24" s="168"/>
    </row>
    <row r="25" spans="1:13" x14ac:dyDescent="0.2">
      <c r="A25" s="158" t="s">
        <v>8</v>
      </c>
      <c r="B25" s="159" t="s">
        <v>134</v>
      </c>
      <c r="C25" s="160"/>
      <c r="D25" s="161"/>
      <c r="E25" s="162"/>
      <c r="F25" s="163">
        <f>SUM(F27:F83)</f>
        <v>302561.8</v>
      </c>
      <c r="G25" s="162"/>
      <c r="H25" s="163">
        <f>SUM(H27:H83)</f>
        <v>415441.72000000009</v>
      </c>
      <c r="I25" s="165"/>
      <c r="J25" s="163">
        <f>SUM(J27:J83)</f>
        <v>340853.61</v>
      </c>
      <c r="K25" s="163">
        <f>SUM(K27:K83)</f>
        <v>467404.7300000001</v>
      </c>
      <c r="M25" s="168"/>
    </row>
    <row r="26" spans="1:13" x14ac:dyDescent="0.2">
      <c r="A26" s="158" t="s">
        <v>9</v>
      </c>
      <c r="B26" s="159" t="s">
        <v>135</v>
      </c>
      <c r="C26" s="160"/>
      <c r="D26" s="161"/>
      <c r="E26" s="162"/>
      <c r="F26" s="163"/>
      <c r="G26" s="162"/>
      <c r="H26" s="164"/>
      <c r="I26" s="165"/>
      <c r="J26" s="166"/>
      <c r="K26" s="167"/>
      <c r="M26" s="168"/>
    </row>
    <row r="27" spans="1:13" ht="21" x14ac:dyDescent="0.2">
      <c r="A27" s="169" t="s">
        <v>136</v>
      </c>
      <c r="B27" s="118" t="s">
        <v>137</v>
      </c>
      <c r="C27" s="170" t="s">
        <v>10</v>
      </c>
      <c r="D27" s="171">
        <v>24.22</v>
      </c>
      <c r="E27" s="171">
        <v>78.55</v>
      </c>
      <c r="F27" s="171">
        <f t="shared" si="2"/>
        <v>1902.48</v>
      </c>
      <c r="G27" s="172">
        <v>90.19</v>
      </c>
      <c r="H27" s="174">
        <f t="shared" si="0"/>
        <v>2184.4</v>
      </c>
      <c r="I27" s="175">
        <v>24.22</v>
      </c>
      <c r="J27" s="173">
        <f t="shared" si="3"/>
        <v>1902.48</v>
      </c>
      <c r="K27" s="176">
        <f t="shared" si="1"/>
        <v>2184.4</v>
      </c>
      <c r="M27" s="168"/>
    </row>
    <row r="28" spans="1:13" ht="31.5" x14ac:dyDescent="0.2">
      <c r="A28" s="169" t="s">
        <v>138</v>
      </c>
      <c r="B28" s="118" t="s">
        <v>139</v>
      </c>
      <c r="C28" s="170" t="s">
        <v>5</v>
      </c>
      <c r="D28" s="171">
        <v>52.2</v>
      </c>
      <c r="E28" s="171">
        <v>15.57</v>
      </c>
      <c r="F28" s="171">
        <f t="shared" si="2"/>
        <v>812.75</v>
      </c>
      <c r="G28" s="172">
        <v>20.82</v>
      </c>
      <c r="H28" s="174">
        <f t="shared" si="0"/>
        <v>1086.8</v>
      </c>
      <c r="I28" s="175">
        <v>52.2</v>
      </c>
      <c r="J28" s="173">
        <f t="shared" si="3"/>
        <v>812.75</v>
      </c>
      <c r="K28" s="176">
        <f t="shared" si="1"/>
        <v>1086.8</v>
      </c>
      <c r="M28" s="168"/>
    </row>
    <row r="29" spans="1:13" ht="31.15" customHeight="1" x14ac:dyDescent="0.2">
      <c r="A29" s="169" t="s">
        <v>140</v>
      </c>
      <c r="B29" s="118" t="s">
        <v>141</v>
      </c>
      <c r="C29" s="170" t="s">
        <v>10</v>
      </c>
      <c r="D29" s="171">
        <v>24.22</v>
      </c>
      <c r="E29" s="171">
        <v>543.99</v>
      </c>
      <c r="F29" s="171">
        <f t="shared" si="2"/>
        <v>13175.43</v>
      </c>
      <c r="G29" s="172">
        <v>688.77</v>
      </c>
      <c r="H29" s="174">
        <f t="shared" si="0"/>
        <v>16682</v>
      </c>
      <c r="I29" s="175">
        <v>24.22</v>
      </c>
      <c r="J29" s="173">
        <f t="shared" si="3"/>
        <v>13175.43</v>
      </c>
      <c r="K29" s="176">
        <f t="shared" si="1"/>
        <v>16682</v>
      </c>
      <c r="M29" s="168"/>
    </row>
    <row r="30" spans="1:13" ht="42" x14ac:dyDescent="0.2">
      <c r="A30" s="169" t="s">
        <v>142</v>
      </c>
      <c r="B30" s="118" t="s">
        <v>15</v>
      </c>
      <c r="C30" s="170" t="s">
        <v>5</v>
      </c>
      <c r="D30" s="171">
        <v>77.510000000000005</v>
      </c>
      <c r="E30" s="171">
        <v>79.55</v>
      </c>
      <c r="F30" s="171">
        <f t="shared" si="2"/>
        <v>6165.92</v>
      </c>
      <c r="G30" s="172">
        <v>102.98</v>
      </c>
      <c r="H30" s="174">
        <f t="shared" si="0"/>
        <v>7981.97</v>
      </c>
      <c r="I30" s="175">
        <v>77.510000000000005</v>
      </c>
      <c r="J30" s="173">
        <f t="shared" si="3"/>
        <v>6165.92</v>
      </c>
      <c r="K30" s="176">
        <f t="shared" si="1"/>
        <v>7981.97</v>
      </c>
      <c r="M30" s="168"/>
    </row>
    <row r="31" spans="1:13" ht="31.5" x14ac:dyDescent="0.2">
      <c r="A31" s="169" t="s">
        <v>143</v>
      </c>
      <c r="B31" s="118" t="s">
        <v>144</v>
      </c>
      <c r="C31" s="170" t="s">
        <v>10</v>
      </c>
      <c r="D31" s="171">
        <v>1.88</v>
      </c>
      <c r="E31" s="171">
        <v>343.05</v>
      </c>
      <c r="F31" s="171">
        <f t="shared" si="2"/>
        <v>644.92999999999995</v>
      </c>
      <c r="G31" s="172">
        <v>502.27</v>
      </c>
      <c r="H31" s="174">
        <f t="shared" si="0"/>
        <v>944.26</v>
      </c>
      <c r="I31" s="175">
        <v>1.88</v>
      </c>
      <c r="J31" s="173">
        <f t="shared" si="3"/>
        <v>644.92999999999995</v>
      </c>
      <c r="K31" s="176">
        <f t="shared" si="1"/>
        <v>944.26</v>
      </c>
      <c r="M31" s="168"/>
    </row>
    <row r="32" spans="1:13" ht="21" x14ac:dyDescent="0.2">
      <c r="A32" s="169" t="s">
        <v>145</v>
      </c>
      <c r="B32" s="118" t="s">
        <v>43</v>
      </c>
      <c r="C32" s="170" t="s">
        <v>10</v>
      </c>
      <c r="D32" s="171">
        <v>1.88</v>
      </c>
      <c r="E32" s="171">
        <v>207.17</v>
      </c>
      <c r="F32" s="171">
        <f t="shared" si="2"/>
        <v>389.47</v>
      </c>
      <c r="G32" s="172">
        <v>235.08</v>
      </c>
      <c r="H32" s="174">
        <f t="shared" si="0"/>
        <v>441.95</v>
      </c>
      <c r="I32" s="175">
        <v>1.88</v>
      </c>
      <c r="J32" s="173">
        <f t="shared" si="3"/>
        <v>389.47</v>
      </c>
      <c r="K32" s="176">
        <f t="shared" si="1"/>
        <v>441.95</v>
      </c>
      <c r="M32" s="168"/>
    </row>
    <row r="33" spans="1:13" ht="42" x14ac:dyDescent="0.2">
      <c r="A33" s="169" t="s">
        <v>146</v>
      </c>
      <c r="B33" s="118" t="s">
        <v>147</v>
      </c>
      <c r="C33" s="170" t="s">
        <v>5</v>
      </c>
      <c r="D33" s="171">
        <v>15</v>
      </c>
      <c r="E33" s="171">
        <v>135.4</v>
      </c>
      <c r="F33" s="171">
        <f t="shared" si="2"/>
        <v>2031</v>
      </c>
      <c r="G33" s="172">
        <v>177.77</v>
      </c>
      <c r="H33" s="174">
        <f t="shared" si="0"/>
        <v>2666.55</v>
      </c>
      <c r="I33" s="175">
        <v>15</v>
      </c>
      <c r="J33" s="173">
        <f t="shared" si="3"/>
        <v>2031</v>
      </c>
      <c r="K33" s="176">
        <f t="shared" si="1"/>
        <v>2666.55</v>
      </c>
      <c r="M33" s="168"/>
    </row>
    <row r="34" spans="1:13" ht="15" customHeight="1" x14ac:dyDescent="0.2">
      <c r="A34" s="169" t="s">
        <v>148</v>
      </c>
      <c r="B34" s="118" t="s">
        <v>149</v>
      </c>
      <c r="C34" s="170" t="s">
        <v>10</v>
      </c>
      <c r="D34" s="171">
        <v>24.22</v>
      </c>
      <c r="E34" s="171">
        <v>47.63</v>
      </c>
      <c r="F34" s="171">
        <f t="shared" si="2"/>
        <v>1153.5899999999999</v>
      </c>
      <c r="G34" s="172">
        <v>54.68</v>
      </c>
      <c r="H34" s="174">
        <f t="shared" si="0"/>
        <v>1324.34</v>
      </c>
      <c r="I34" s="175">
        <v>24.22</v>
      </c>
      <c r="J34" s="173">
        <f t="shared" si="3"/>
        <v>1153.5899999999999</v>
      </c>
      <c r="K34" s="176">
        <f t="shared" si="1"/>
        <v>1324.34</v>
      </c>
      <c r="M34" s="168"/>
    </row>
    <row r="35" spans="1:13" ht="15" customHeight="1" x14ac:dyDescent="0.2">
      <c r="A35" s="169" t="s">
        <v>150</v>
      </c>
      <c r="B35" s="118" t="s">
        <v>42</v>
      </c>
      <c r="C35" s="170" t="s">
        <v>16</v>
      </c>
      <c r="D35" s="171">
        <v>31.96</v>
      </c>
      <c r="E35" s="171">
        <v>17.920000000000002</v>
      </c>
      <c r="F35" s="171">
        <f t="shared" si="2"/>
        <v>572.72</v>
      </c>
      <c r="G35" s="172">
        <v>24.01</v>
      </c>
      <c r="H35" s="174">
        <f t="shared" si="0"/>
        <v>767.35</v>
      </c>
      <c r="I35" s="175">
        <v>31.96</v>
      </c>
      <c r="J35" s="173">
        <f t="shared" si="3"/>
        <v>572.72</v>
      </c>
      <c r="K35" s="176">
        <f t="shared" si="1"/>
        <v>767.35</v>
      </c>
      <c r="M35" s="168"/>
    </row>
    <row r="36" spans="1:13" ht="21" x14ac:dyDescent="0.2">
      <c r="A36" s="169" t="s">
        <v>151</v>
      </c>
      <c r="B36" s="118" t="s">
        <v>40</v>
      </c>
      <c r="C36" s="170" t="s">
        <v>16</v>
      </c>
      <c r="D36" s="171">
        <v>57.36</v>
      </c>
      <c r="E36" s="171">
        <v>16.07</v>
      </c>
      <c r="F36" s="171">
        <f t="shared" si="2"/>
        <v>921.77</v>
      </c>
      <c r="G36" s="172">
        <v>22.34</v>
      </c>
      <c r="H36" s="174">
        <f t="shared" si="0"/>
        <v>1281.42</v>
      </c>
      <c r="I36" s="175">
        <v>57.36</v>
      </c>
      <c r="J36" s="173">
        <f t="shared" si="3"/>
        <v>921.77</v>
      </c>
      <c r="K36" s="176">
        <f t="shared" si="1"/>
        <v>1281.42</v>
      </c>
      <c r="M36" s="168"/>
    </row>
    <row r="37" spans="1:13" ht="21" x14ac:dyDescent="0.2">
      <c r="A37" s="169" t="s">
        <v>152</v>
      </c>
      <c r="B37" s="118" t="s">
        <v>41</v>
      </c>
      <c r="C37" s="170" t="s">
        <v>16</v>
      </c>
      <c r="D37" s="171">
        <v>94.28</v>
      </c>
      <c r="E37" s="171">
        <v>12.73</v>
      </c>
      <c r="F37" s="171">
        <f t="shared" si="2"/>
        <v>1200.18</v>
      </c>
      <c r="G37" s="172">
        <v>18.510000000000002</v>
      </c>
      <c r="H37" s="174">
        <f t="shared" si="0"/>
        <v>1745.12</v>
      </c>
      <c r="I37" s="175">
        <v>94.28</v>
      </c>
      <c r="J37" s="173">
        <f t="shared" si="3"/>
        <v>1200.18</v>
      </c>
      <c r="K37" s="176">
        <f t="shared" si="1"/>
        <v>1745.12</v>
      </c>
      <c r="M37" s="168"/>
    </row>
    <row r="38" spans="1:13" x14ac:dyDescent="0.2">
      <c r="A38" s="158" t="s">
        <v>11</v>
      </c>
      <c r="B38" s="159" t="s">
        <v>153</v>
      </c>
      <c r="C38" s="160"/>
      <c r="D38" s="161"/>
      <c r="E38" s="162"/>
      <c r="F38" s="163"/>
      <c r="G38" s="162"/>
      <c r="H38" s="164"/>
      <c r="I38" s="165"/>
      <c r="J38" s="166"/>
      <c r="K38" s="167"/>
      <c r="M38" s="168"/>
    </row>
    <row r="39" spans="1:13" ht="31.5" x14ac:dyDescent="0.2">
      <c r="A39" s="169" t="s">
        <v>154</v>
      </c>
      <c r="B39" s="118" t="s">
        <v>155</v>
      </c>
      <c r="C39" s="170" t="s">
        <v>10</v>
      </c>
      <c r="D39" s="171">
        <v>1.43</v>
      </c>
      <c r="E39" s="171">
        <v>359.29</v>
      </c>
      <c r="F39" s="171">
        <f t="shared" si="2"/>
        <v>513.78</v>
      </c>
      <c r="G39" s="172">
        <v>532.57000000000005</v>
      </c>
      <c r="H39" s="174">
        <f t="shared" si="0"/>
        <v>761.57</v>
      </c>
      <c r="I39" s="175">
        <v>1.43</v>
      </c>
      <c r="J39" s="173">
        <f t="shared" si="3"/>
        <v>513.78</v>
      </c>
      <c r="K39" s="176">
        <f t="shared" si="1"/>
        <v>761.57</v>
      </c>
      <c r="M39" s="168"/>
    </row>
    <row r="40" spans="1:13" ht="21" x14ac:dyDescent="0.2">
      <c r="A40" s="169" t="s">
        <v>156</v>
      </c>
      <c r="B40" s="118" t="s">
        <v>43</v>
      </c>
      <c r="C40" s="170" t="s">
        <v>10</v>
      </c>
      <c r="D40" s="171">
        <v>1.43</v>
      </c>
      <c r="E40" s="171">
        <v>207.17</v>
      </c>
      <c r="F40" s="171">
        <f t="shared" si="2"/>
        <v>296.25</v>
      </c>
      <c r="G40" s="172">
        <v>235.08</v>
      </c>
      <c r="H40" s="174">
        <f t="shared" si="0"/>
        <v>336.16</v>
      </c>
      <c r="I40" s="175">
        <v>1.43</v>
      </c>
      <c r="J40" s="173">
        <f t="shared" si="3"/>
        <v>296.25</v>
      </c>
      <c r="K40" s="176">
        <f t="shared" si="1"/>
        <v>336.16</v>
      </c>
      <c r="M40" s="168"/>
    </row>
    <row r="41" spans="1:13" ht="31.5" x14ac:dyDescent="0.2">
      <c r="A41" s="169" t="s">
        <v>157</v>
      </c>
      <c r="B41" s="118" t="s">
        <v>158</v>
      </c>
      <c r="C41" s="170" t="s">
        <v>5</v>
      </c>
      <c r="D41" s="171">
        <v>32.44</v>
      </c>
      <c r="E41" s="171">
        <v>69.680000000000007</v>
      </c>
      <c r="F41" s="171">
        <f t="shared" si="2"/>
        <v>2260.41</v>
      </c>
      <c r="G41" s="172">
        <v>91.36</v>
      </c>
      <c r="H41" s="174">
        <f t="shared" si="0"/>
        <v>2963.71</v>
      </c>
      <c r="I41" s="175">
        <v>60.98</v>
      </c>
      <c r="J41" s="173">
        <f t="shared" si="3"/>
        <v>4249.08</v>
      </c>
      <c r="K41" s="176">
        <f t="shared" si="1"/>
        <v>5571.13</v>
      </c>
      <c r="M41" s="168"/>
    </row>
    <row r="42" spans="1:13" ht="21" x14ac:dyDescent="0.2">
      <c r="A42" s="169" t="s">
        <v>159</v>
      </c>
      <c r="B42" s="118" t="s">
        <v>40</v>
      </c>
      <c r="C42" s="170" t="s">
        <v>16</v>
      </c>
      <c r="D42" s="171">
        <v>67.180000000000007</v>
      </c>
      <c r="E42" s="171">
        <v>16.07</v>
      </c>
      <c r="F42" s="171">
        <f t="shared" si="2"/>
        <v>1079.58</v>
      </c>
      <c r="G42" s="172">
        <v>22.34</v>
      </c>
      <c r="H42" s="174">
        <f t="shared" si="0"/>
        <v>1500.8</v>
      </c>
      <c r="I42" s="175">
        <v>67.180000000000007</v>
      </c>
      <c r="J42" s="173">
        <f t="shared" si="3"/>
        <v>1079.58</v>
      </c>
      <c r="K42" s="176">
        <f t="shared" si="1"/>
        <v>1500.8</v>
      </c>
      <c r="M42" s="168"/>
    </row>
    <row r="43" spans="1:13" ht="21" x14ac:dyDescent="0.2">
      <c r="A43" s="169" t="s">
        <v>160</v>
      </c>
      <c r="B43" s="118" t="s">
        <v>41</v>
      </c>
      <c r="C43" s="170" t="s">
        <v>16</v>
      </c>
      <c r="D43" s="171">
        <v>155.82</v>
      </c>
      <c r="E43" s="171">
        <v>12.73</v>
      </c>
      <c r="F43" s="171">
        <f t="shared" si="2"/>
        <v>1983.58</v>
      </c>
      <c r="G43" s="172">
        <v>18.510000000000002</v>
      </c>
      <c r="H43" s="174">
        <f t="shared" si="0"/>
        <v>2884.22</v>
      </c>
      <c r="I43" s="175">
        <v>155.82</v>
      </c>
      <c r="J43" s="173">
        <f t="shared" si="3"/>
        <v>1983.58</v>
      </c>
      <c r="K43" s="176">
        <f t="shared" si="1"/>
        <v>2884.22</v>
      </c>
      <c r="M43" s="168"/>
    </row>
    <row r="44" spans="1:13" ht="31.5" x14ac:dyDescent="0.2">
      <c r="A44" s="169" t="s">
        <v>161</v>
      </c>
      <c r="B44" s="118" t="s">
        <v>155</v>
      </c>
      <c r="C44" s="170" t="s">
        <v>10</v>
      </c>
      <c r="D44" s="171">
        <v>1.19</v>
      </c>
      <c r="E44" s="171">
        <v>359.29</v>
      </c>
      <c r="F44" s="171">
        <f t="shared" si="2"/>
        <v>427.55</v>
      </c>
      <c r="G44" s="172">
        <v>532.57000000000005</v>
      </c>
      <c r="H44" s="174">
        <f t="shared" si="0"/>
        <v>633.75</v>
      </c>
      <c r="I44" s="175">
        <v>4.8100000000000005</v>
      </c>
      <c r="J44" s="173">
        <f t="shared" si="3"/>
        <v>1728.18</v>
      </c>
      <c r="K44" s="176">
        <f t="shared" si="1"/>
        <v>2561.66</v>
      </c>
      <c r="M44" s="168"/>
    </row>
    <row r="45" spans="1:13" ht="21" x14ac:dyDescent="0.2">
      <c r="A45" s="169" t="s">
        <v>162</v>
      </c>
      <c r="B45" s="118" t="s">
        <v>43</v>
      </c>
      <c r="C45" s="170" t="s">
        <v>10</v>
      </c>
      <c r="D45" s="171">
        <v>1.19</v>
      </c>
      <c r="E45" s="171">
        <v>207.17</v>
      </c>
      <c r="F45" s="171">
        <f t="shared" si="2"/>
        <v>246.53</v>
      </c>
      <c r="G45" s="172">
        <v>235.08</v>
      </c>
      <c r="H45" s="174">
        <f t="shared" si="0"/>
        <v>279.74</v>
      </c>
      <c r="I45" s="175">
        <v>4.8100000000000005</v>
      </c>
      <c r="J45" s="173">
        <f t="shared" si="3"/>
        <v>996.48</v>
      </c>
      <c r="K45" s="176">
        <f t="shared" si="1"/>
        <v>1130.73</v>
      </c>
      <c r="M45" s="168"/>
    </row>
    <row r="46" spans="1:13" ht="31.5" x14ac:dyDescent="0.2">
      <c r="A46" s="169" t="s">
        <v>163</v>
      </c>
      <c r="B46" s="118" t="s">
        <v>164</v>
      </c>
      <c r="C46" s="170" t="s">
        <v>5</v>
      </c>
      <c r="D46" s="171">
        <v>21.83</v>
      </c>
      <c r="E46" s="171">
        <v>251.09</v>
      </c>
      <c r="F46" s="171">
        <f t="shared" si="2"/>
        <v>5481.29</v>
      </c>
      <c r="G46" s="172">
        <v>374.92</v>
      </c>
      <c r="H46" s="174">
        <f t="shared" si="0"/>
        <v>8184.5</v>
      </c>
      <c r="I46" s="175">
        <v>27.599999999999998</v>
      </c>
      <c r="J46" s="173">
        <f t="shared" si="3"/>
        <v>6930.08</v>
      </c>
      <c r="K46" s="176">
        <f t="shared" si="1"/>
        <v>10347.790000000001</v>
      </c>
      <c r="M46" s="168"/>
    </row>
    <row r="47" spans="1:13" ht="42" x14ac:dyDescent="0.2">
      <c r="A47" s="169" t="s">
        <v>165</v>
      </c>
      <c r="B47" s="118" t="s">
        <v>166</v>
      </c>
      <c r="C47" s="170" t="s">
        <v>16</v>
      </c>
      <c r="D47" s="171">
        <v>29.06</v>
      </c>
      <c r="E47" s="171">
        <v>13.75</v>
      </c>
      <c r="F47" s="171">
        <f t="shared" si="2"/>
        <v>399.57</v>
      </c>
      <c r="G47" s="172">
        <v>19.73</v>
      </c>
      <c r="H47" s="174">
        <f t="shared" si="0"/>
        <v>573.35</v>
      </c>
      <c r="I47" s="175">
        <v>29.06</v>
      </c>
      <c r="J47" s="173">
        <f t="shared" si="3"/>
        <v>399.57</v>
      </c>
      <c r="K47" s="176">
        <f t="shared" si="1"/>
        <v>573.35</v>
      </c>
      <c r="M47" s="168"/>
    </row>
    <row r="48" spans="1:13" ht="31.5" x14ac:dyDescent="0.2">
      <c r="A48" s="169" t="s">
        <v>167</v>
      </c>
      <c r="B48" s="118" t="s">
        <v>168</v>
      </c>
      <c r="C48" s="170" t="s">
        <v>16</v>
      </c>
      <c r="D48" s="171">
        <v>33.32</v>
      </c>
      <c r="E48" s="171">
        <v>11.99</v>
      </c>
      <c r="F48" s="171">
        <f t="shared" si="2"/>
        <v>399.5</v>
      </c>
      <c r="G48" s="172">
        <v>17.68</v>
      </c>
      <c r="H48" s="174">
        <f t="shared" si="0"/>
        <v>589.09</v>
      </c>
      <c r="I48" s="175">
        <v>33.32</v>
      </c>
      <c r="J48" s="173">
        <f t="shared" si="3"/>
        <v>399.5</v>
      </c>
      <c r="K48" s="176">
        <f t="shared" si="1"/>
        <v>589.09</v>
      </c>
      <c r="M48" s="168"/>
    </row>
    <row r="49" spans="1:13" ht="42" x14ac:dyDescent="0.2">
      <c r="A49" s="169" t="s">
        <v>169</v>
      </c>
      <c r="B49" s="118" t="s">
        <v>15</v>
      </c>
      <c r="C49" s="170" t="s">
        <v>5</v>
      </c>
      <c r="D49" s="171">
        <v>55.2</v>
      </c>
      <c r="E49" s="171">
        <v>79.55</v>
      </c>
      <c r="F49" s="171">
        <f t="shared" si="2"/>
        <v>4391.16</v>
      </c>
      <c r="G49" s="172">
        <v>102.98</v>
      </c>
      <c r="H49" s="174">
        <f t="shared" si="0"/>
        <v>5684.49</v>
      </c>
      <c r="I49" s="175">
        <v>55.2</v>
      </c>
      <c r="J49" s="173">
        <f t="shared" si="3"/>
        <v>4391.16</v>
      </c>
      <c r="K49" s="176">
        <f t="shared" si="1"/>
        <v>5684.49</v>
      </c>
      <c r="M49" s="168"/>
    </row>
    <row r="50" spans="1:13" x14ac:dyDescent="0.2">
      <c r="A50" s="158" t="s">
        <v>12</v>
      </c>
      <c r="B50" s="159" t="s">
        <v>170</v>
      </c>
      <c r="C50" s="160"/>
      <c r="D50" s="161"/>
      <c r="E50" s="162"/>
      <c r="F50" s="163"/>
      <c r="G50" s="162"/>
      <c r="H50" s="164"/>
      <c r="I50" s="165"/>
      <c r="J50" s="166"/>
      <c r="K50" s="167"/>
      <c r="M50" s="168"/>
    </row>
    <row r="51" spans="1:13" ht="52.5" x14ac:dyDescent="0.2">
      <c r="A51" s="169" t="s">
        <v>171</v>
      </c>
      <c r="B51" s="118" t="s">
        <v>172</v>
      </c>
      <c r="C51" s="170" t="s">
        <v>5</v>
      </c>
      <c r="D51" s="171">
        <v>106.94</v>
      </c>
      <c r="E51" s="171">
        <v>91.26</v>
      </c>
      <c r="F51" s="171">
        <f t="shared" si="2"/>
        <v>9759.34</v>
      </c>
      <c r="G51" s="172">
        <v>112.13</v>
      </c>
      <c r="H51" s="174">
        <f t="shared" si="0"/>
        <v>11991.18</v>
      </c>
      <c r="I51" s="175">
        <v>106.94</v>
      </c>
      <c r="J51" s="173">
        <f t="shared" si="3"/>
        <v>9759.34</v>
      </c>
      <c r="K51" s="176">
        <f t="shared" si="1"/>
        <v>11991.18</v>
      </c>
      <c r="M51" s="168"/>
    </row>
    <row r="52" spans="1:13" ht="25.15" customHeight="1" x14ac:dyDescent="0.2">
      <c r="A52" s="169" t="s">
        <v>173</v>
      </c>
      <c r="B52" s="118" t="s">
        <v>174</v>
      </c>
      <c r="C52" s="170" t="s">
        <v>79</v>
      </c>
      <c r="D52" s="171">
        <v>15</v>
      </c>
      <c r="E52" s="171">
        <v>27.08</v>
      </c>
      <c r="F52" s="171">
        <f t="shared" si="2"/>
        <v>406.2</v>
      </c>
      <c r="G52" s="172">
        <v>36.04</v>
      </c>
      <c r="H52" s="174">
        <f t="shared" si="0"/>
        <v>540.6</v>
      </c>
      <c r="I52" s="175">
        <v>30</v>
      </c>
      <c r="J52" s="173">
        <f t="shared" si="3"/>
        <v>812.4</v>
      </c>
      <c r="K52" s="176">
        <f t="shared" si="1"/>
        <v>1081.2</v>
      </c>
      <c r="M52" s="168"/>
    </row>
    <row r="53" spans="1:13" ht="15" customHeight="1" x14ac:dyDescent="0.2">
      <c r="A53" s="158" t="s">
        <v>13</v>
      </c>
      <c r="B53" s="159" t="s">
        <v>175</v>
      </c>
      <c r="C53" s="160"/>
      <c r="D53" s="161"/>
      <c r="E53" s="162"/>
      <c r="F53" s="163"/>
      <c r="G53" s="162"/>
      <c r="H53" s="164"/>
      <c r="I53" s="165"/>
      <c r="J53" s="166"/>
      <c r="K53" s="167"/>
      <c r="M53" s="168"/>
    </row>
    <row r="54" spans="1:13" ht="42" x14ac:dyDescent="0.2">
      <c r="A54" s="169" t="s">
        <v>176</v>
      </c>
      <c r="B54" s="118" t="s">
        <v>177</v>
      </c>
      <c r="C54" s="170" t="s">
        <v>5</v>
      </c>
      <c r="D54" s="171">
        <v>269.08</v>
      </c>
      <c r="E54" s="171">
        <v>8.52</v>
      </c>
      <c r="F54" s="171">
        <f t="shared" si="2"/>
        <v>2292.56</v>
      </c>
      <c r="G54" s="172">
        <v>10.11</v>
      </c>
      <c r="H54" s="174">
        <f t="shared" si="0"/>
        <v>2720.39</v>
      </c>
      <c r="I54" s="175">
        <v>496.88</v>
      </c>
      <c r="J54" s="173">
        <f t="shared" si="3"/>
        <v>4233.41</v>
      </c>
      <c r="K54" s="176">
        <f t="shared" si="1"/>
        <v>5023.45</v>
      </c>
      <c r="M54" s="168"/>
    </row>
    <row r="55" spans="1:13" ht="52.5" x14ac:dyDescent="0.2">
      <c r="A55" s="169" t="s">
        <v>178</v>
      </c>
      <c r="B55" s="118" t="s">
        <v>44</v>
      </c>
      <c r="C55" s="170" t="s">
        <v>5</v>
      </c>
      <c r="D55" s="171">
        <v>182.58</v>
      </c>
      <c r="E55" s="171">
        <v>39.33</v>
      </c>
      <c r="F55" s="171">
        <f t="shared" si="2"/>
        <v>7180.87</v>
      </c>
      <c r="G55" s="172">
        <v>47.98</v>
      </c>
      <c r="H55" s="174">
        <f t="shared" si="0"/>
        <v>8760.18</v>
      </c>
      <c r="I55" s="175">
        <v>325.09000000000003</v>
      </c>
      <c r="J55" s="173">
        <f t="shared" si="3"/>
        <v>12785.78</v>
      </c>
      <c r="K55" s="176">
        <f t="shared" si="1"/>
        <v>15597.81</v>
      </c>
      <c r="M55" s="168"/>
    </row>
    <row r="56" spans="1:13" ht="42" x14ac:dyDescent="0.2">
      <c r="A56" s="169" t="s">
        <v>179</v>
      </c>
      <c r="B56" s="118" t="s">
        <v>180</v>
      </c>
      <c r="C56" s="170" t="s">
        <v>5</v>
      </c>
      <c r="D56" s="171">
        <v>85.29</v>
      </c>
      <c r="E56" s="171">
        <v>52.27</v>
      </c>
      <c r="F56" s="171">
        <f t="shared" si="2"/>
        <v>4458.1000000000004</v>
      </c>
      <c r="G56" s="172">
        <v>63.5</v>
      </c>
      <c r="H56" s="174">
        <f t="shared" si="0"/>
        <v>5415.91</v>
      </c>
      <c r="I56" s="175">
        <v>85.29</v>
      </c>
      <c r="J56" s="173">
        <f t="shared" si="3"/>
        <v>4458.1000000000004</v>
      </c>
      <c r="K56" s="176">
        <f t="shared" si="1"/>
        <v>5415.91</v>
      </c>
      <c r="M56" s="168"/>
    </row>
    <row r="57" spans="1:13" ht="21" x14ac:dyDescent="0.2">
      <c r="A57" s="169" t="s">
        <v>181</v>
      </c>
      <c r="B57" s="118" t="s">
        <v>182</v>
      </c>
      <c r="C57" s="170" t="s">
        <v>61</v>
      </c>
      <c r="D57" s="171">
        <v>85.29</v>
      </c>
      <c r="E57" s="171">
        <v>53.42</v>
      </c>
      <c r="F57" s="171">
        <f t="shared" si="2"/>
        <v>4556.1899999999996</v>
      </c>
      <c r="G57" s="172">
        <v>71.180000000000007</v>
      </c>
      <c r="H57" s="174">
        <f t="shared" si="0"/>
        <v>6070.94</v>
      </c>
      <c r="I57" s="175">
        <v>99.09</v>
      </c>
      <c r="J57" s="173">
        <f t="shared" si="3"/>
        <v>5293.38</v>
      </c>
      <c r="K57" s="176">
        <f t="shared" si="1"/>
        <v>7053.22</v>
      </c>
      <c r="M57" s="168"/>
    </row>
    <row r="58" spans="1:13" x14ac:dyDescent="0.2">
      <c r="A58" s="158" t="s">
        <v>183</v>
      </c>
      <c r="B58" s="159" t="s">
        <v>20</v>
      </c>
      <c r="C58" s="160"/>
      <c r="D58" s="161"/>
      <c r="E58" s="162"/>
      <c r="F58" s="163"/>
      <c r="G58" s="162"/>
      <c r="H58" s="164"/>
      <c r="I58" s="165"/>
      <c r="J58" s="166"/>
      <c r="K58" s="167"/>
      <c r="M58" s="168"/>
    </row>
    <row r="59" spans="1:13" ht="21" x14ac:dyDescent="0.2">
      <c r="A59" s="169" t="s">
        <v>184</v>
      </c>
      <c r="B59" s="118" t="s">
        <v>21</v>
      </c>
      <c r="C59" s="170" t="s">
        <v>5</v>
      </c>
      <c r="D59" s="171">
        <v>182.58</v>
      </c>
      <c r="E59" s="171">
        <v>2.0099999999999998</v>
      </c>
      <c r="F59" s="171">
        <f t="shared" si="2"/>
        <v>366.98</v>
      </c>
      <c r="G59" s="172">
        <v>2.62</v>
      </c>
      <c r="H59" s="174">
        <f t="shared" si="0"/>
        <v>478.35</v>
      </c>
      <c r="I59" s="175">
        <v>182.58</v>
      </c>
      <c r="J59" s="173">
        <f t="shared" si="3"/>
        <v>366.98</v>
      </c>
      <c r="K59" s="176">
        <f t="shared" si="1"/>
        <v>478.35</v>
      </c>
      <c r="M59" s="168"/>
    </row>
    <row r="60" spans="1:13" ht="21" x14ac:dyDescent="0.2">
      <c r="A60" s="169" t="s">
        <v>185</v>
      </c>
      <c r="B60" s="118" t="s">
        <v>22</v>
      </c>
      <c r="C60" s="170" t="s">
        <v>5</v>
      </c>
      <c r="D60" s="171">
        <v>182.58</v>
      </c>
      <c r="E60" s="171">
        <v>10.54</v>
      </c>
      <c r="F60" s="171">
        <f t="shared" si="2"/>
        <v>1924.39</v>
      </c>
      <c r="G60" s="172">
        <v>13.89</v>
      </c>
      <c r="H60" s="174">
        <f t="shared" si="0"/>
        <v>2536.0300000000002</v>
      </c>
      <c r="I60" s="175">
        <v>182.58</v>
      </c>
      <c r="J60" s="173">
        <f t="shared" si="3"/>
        <v>1924.39</v>
      </c>
      <c r="K60" s="176">
        <f t="shared" si="1"/>
        <v>2536.0300000000002</v>
      </c>
      <c r="M60" s="168"/>
    </row>
    <row r="61" spans="1:13" ht="31.5" x14ac:dyDescent="0.2">
      <c r="A61" s="169" t="s">
        <v>186</v>
      </c>
      <c r="B61" s="118" t="s">
        <v>187</v>
      </c>
      <c r="C61" s="170" t="s">
        <v>5</v>
      </c>
      <c r="D61" s="171">
        <v>59.2</v>
      </c>
      <c r="E61" s="171">
        <v>6.91</v>
      </c>
      <c r="F61" s="171">
        <f t="shared" si="2"/>
        <v>409.07</v>
      </c>
      <c r="G61" s="172">
        <v>10.18</v>
      </c>
      <c r="H61" s="174">
        <f t="shared" si="0"/>
        <v>602.65</v>
      </c>
      <c r="I61" s="175">
        <v>59.2</v>
      </c>
      <c r="J61" s="173">
        <f t="shared" si="3"/>
        <v>409.07</v>
      </c>
      <c r="K61" s="176">
        <f t="shared" si="1"/>
        <v>602.65</v>
      </c>
      <c r="M61" s="168"/>
    </row>
    <row r="62" spans="1:13" ht="42" x14ac:dyDescent="0.2">
      <c r="A62" s="169" t="s">
        <v>188</v>
      </c>
      <c r="B62" s="118" t="s">
        <v>189</v>
      </c>
      <c r="C62" s="170" t="s">
        <v>5</v>
      </c>
      <c r="D62" s="171">
        <v>59.2</v>
      </c>
      <c r="E62" s="171">
        <v>38.119999999999997</v>
      </c>
      <c r="F62" s="171">
        <f t="shared" si="2"/>
        <v>2256.6999999999998</v>
      </c>
      <c r="G62" s="172">
        <v>48.02</v>
      </c>
      <c r="H62" s="174">
        <f t="shared" si="0"/>
        <v>2842.78</v>
      </c>
      <c r="I62" s="175">
        <v>59.2</v>
      </c>
      <c r="J62" s="173">
        <f t="shared" si="3"/>
        <v>2256.6999999999998</v>
      </c>
      <c r="K62" s="176">
        <f t="shared" si="1"/>
        <v>2842.78</v>
      </c>
      <c r="M62" s="168"/>
    </row>
    <row r="63" spans="1:13" x14ac:dyDescent="0.2">
      <c r="A63" s="158" t="s">
        <v>190</v>
      </c>
      <c r="B63" s="159" t="s">
        <v>191</v>
      </c>
      <c r="C63" s="160"/>
      <c r="D63" s="161"/>
      <c r="E63" s="162"/>
      <c r="F63" s="163"/>
      <c r="G63" s="162"/>
      <c r="H63" s="164"/>
      <c r="I63" s="165"/>
      <c r="J63" s="166"/>
      <c r="K63" s="167"/>
      <c r="M63" s="168"/>
    </row>
    <row r="64" spans="1:13" x14ac:dyDescent="0.2">
      <c r="A64" s="169" t="s">
        <v>192</v>
      </c>
      <c r="B64" s="118" t="s">
        <v>193</v>
      </c>
      <c r="C64" s="170" t="s">
        <v>5</v>
      </c>
      <c r="D64" s="171">
        <v>48.5</v>
      </c>
      <c r="E64" s="171">
        <v>452.18</v>
      </c>
      <c r="F64" s="171">
        <f t="shared" si="2"/>
        <v>21930.73</v>
      </c>
      <c r="G64" s="172">
        <v>681.79</v>
      </c>
      <c r="H64" s="174">
        <f t="shared" si="0"/>
        <v>33066.81</v>
      </c>
      <c r="I64" s="175">
        <v>48.5</v>
      </c>
      <c r="J64" s="173">
        <f t="shared" si="3"/>
        <v>21930.73</v>
      </c>
      <c r="K64" s="176">
        <f t="shared" si="1"/>
        <v>33066.81</v>
      </c>
      <c r="M64" s="168"/>
    </row>
    <row r="65" spans="1:13" ht="31.5" x14ac:dyDescent="0.2">
      <c r="A65" s="169" t="s">
        <v>194</v>
      </c>
      <c r="B65" s="118" t="s">
        <v>195</v>
      </c>
      <c r="C65" s="170" t="s">
        <v>5</v>
      </c>
      <c r="D65" s="171">
        <v>29.6</v>
      </c>
      <c r="E65" s="171">
        <v>476.91</v>
      </c>
      <c r="F65" s="171">
        <f t="shared" si="2"/>
        <v>14116.53</v>
      </c>
      <c r="G65" s="172">
        <v>720.81</v>
      </c>
      <c r="H65" s="174">
        <f t="shared" si="0"/>
        <v>21335.97</v>
      </c>
      <c r="I65" s="175">
        <v>29.6</v>
      </c>
      <c r="J65" s="173">
        <f t="shared" si="3"/>
        <v>14116.53</v>
      </c>
      <c r="K65" s="176">
        <f t="shared" si="1"/>
        <v>21335.97</v>
      </c>
      <c r="M65" s="168"/>
    </row>
    <row r="66" spans="1:13" x14ac:dyDescent="0.2">
      <c r="A66" s="158" t="s">
        <v>196</v>
      </c>
      <c r="B66" s="159" t="s">
        <v>197</v>
      </c>
      <c r="C66" s="160"/>
      <c r="D66" s="161"/>
      <c r="E66" s="162"/>
      <c r="F66" s="163"/>
      <c r="G66" s="162"/>
      <c r="H66" s="164"/>
      <c r="I66" s="165"/>
      <c r="J66" s="166"/>
      <c r="K66" s="167"/>
      <c r="M66" s="168"/>
    </row>
    <row r="67" spans="1:13" ht="31.5" x14ac:dyDescent="0.2">
      <c r="A67" s="169" t="s">
        <v>198</v>
      </c>
      <c r="B67" s="118" t="s">
        <v>199</v>
      </c>
      <c r="C67" s="170" t="s">
        <v>5</v>
      </c>
      <c r="D67" s="171">
        <v>1637.6</v>
      </c>
      <c r="E67" s="171">
        <v>65.81</v>
      </c>
      <c r="F67" s="171">
        <f t="shared" si="2"/>
        <v>107770.45</v>
      </c>
      <c r="G67" s="172">
        <v>96.7</v>
      </c>
      <c r="H67" s="174">
        <f t="shared" si="0"/>
        <v>158355.92000000001</v>
      </c>
      <c r="I67" s="175">
        <v>1637.6</v>
      </c>
      <c r="J67" s="173">
        <f t="shared" si="3"/>
        <v>107770.45</v>
      </c>
      <c r="K67" s="176">
        <f t="shared" si="1"/>
        <v>158355.92000000001</v>
      </c>
      <c r="M67" s="168"/>
    </row>
    <row r="68" spans="1:13" ht="21" x14ac:dyDescent="0.2">
      <c r="A68" s="169" t="s">
        <v>200</v>
      </c>
      <c r="B68" s="118" t="s">
        <v>201</v>
      </c>
      <c r="C68" s="170" t="s">
        <v>5</v>
      </c>
      <c r="D68" s="171">
        <v>59.65</v>
      </c>
      <c r="E68" s="171">
        <v>67.13</v>
      </c>
      <c r="F68" s="171">
        <f t="shared" si="2"/>
        <v>4004.3</v>
      </c>
      <c r="G68" s="172">
        <v>98.46</v>
      </c>
      <c r="H68" s="174">
        <f t="shared" si="0"/>
        <v>5873.13</v>
      </c>
      <c r="I68" s="175">
        <v>59.65</v>
      </c>
      <c r="J68" s="173">
        <f t="shared" si="3"/>
        <v>4004.3</v>
      </c>
      <c r="K68" s="176">
        <f t="shared" si="1"/>
        <v>5873.13</v>
      </c>
      <c r="M68" s="168"/>
    </row>
    <row r="69" spans="1:13" ht="21" x14ac:dyDescent="0.2">
      <c r="A69" s="169" t="s">
        <v>202</v>
      </c>
      <c r="B69" s="118" t="s">
        <v>14</v>
      </c>
      <c r="C69" s="170" t="s">
        <v>10</v>
      </c>
      <c r="D69" s="171">
        <v>287.27</v>
      </c>
      <c r="E69" s="171">
        <v>77.11</v>
      </c>
      <c r="F69" s="171">
        <f t="shared" si="2"/>
        <v>22151.38</v>
      </c>
      <c r="G69" s="172">
        <v>107.92</v>
      </c>
      <c r="H69" s="174">
        <f t="shared" si="0"/>
        <v>31002.17</v>
      </c>
      <c r="I69" s="175">
        <v>600</v>
      </c>
      <c r="J69" s="173">
        <f t="shared" si="3"/>
        <v>46266</v>
      </c>
      <c r="K69" s="176">
        <f t="shared" si="1"/>
        <v>64752</v>
      </c>
      <c r="M69" s="168"/>
    </row>
    <row r="70" spans="1:13" x14ac:dyDescent="0.2">
      <c r="A70" s="169" t="s">
        <v>203</v>
      </c>
      <c r="B70" s="118" t="s">
        <v>204</v>
      </c>
      <c r="C70" s="170" t="s">
        <v>18</v>
      </c>
      <c r="D70" s="171">
        <v>10</v>
      </c>
      <c r="E70" s="171">
        <v>9.77</v>
      </c>
      <c r="F70" s="171">
        <f t="shared" si="2"/>
        <v>97.7</v>
      </c>
      <c r="G70" s="172">
        <v>10.74</v>
      </c>
      <c r="H70" s="174">
        <f t="shared" si="0"/>
        <v>107.4</v>
      </c>
      <c r="I70" s="175">
        <v>10</v>
      </c>
      <c r="J70" s="173">
        <f t="shared" si="3"/>
        <v>97.7</v>
      </c>
      <c r="K70" s="176">
        <f t="shared" si="1"/>
        <v>107.4</v>
      </c>
      <c r="M70" s="168"/>
    </row>
    <row r="71" spans="1:13" ht="52.5" x14ac:dyDescent="0.2">
      <c r="A71" s="169" t="s">
        <v>205</v>
      </c>
      <c r="B71" s="118" t="s">
        <v>206</v>
      </c>
      <c r="C71" s="170" t="s">
        <v>17</v>
      </c>
      <c r="D71" s="171">
        <v>314.74</v>
      </c>
      <c r="E71" s="171">
        <v>46.18</v>
      </c>
      <c r="F71" s="171">
        <f t="shared" si="2"/>
        <v>14534.69</v>
      </c>
      <c r="G71" s="172">
        <v>64.63</v>
      </c>
      <c r="H71" s="174">
        <f t="shared" si="0"/>
        <v>20341.64</v>
      </c>
      <c r="I71" s="175">
        <v>314.74</v>
      </c>
      <c r="J71" s="173">
        <f t="shared" si="3"/>
        <v>14534.69</v>
      </c>
      <c r="K71" s="176">
        <f t="shared" si="1"/>
        <v>20341.64</v>
      </c>
      <c r="M71" s="168"/>
    </row>
    <row r="72" spans="1:13" ht="31.5" x14ac:dyDescent="0.2">
      <c r="A72" s="169" t="s">
        <v>207</v>
      </c>
      <c r="B72" s="118" t="s">
        <v>208</v>
      </c>
      <c r="C72" s="170" t="s">
        <v>19</v>
      </c>
      <c r="D72" s="171">
        <v>4</v>
      </c>
      <c r="E72" s="171">
        <v>145.4</v>
      </c>
      <c r="F72" s="171">
        <f t="shared" si="2"/>
        <v>581.6</v>
      </c>
      <c r="G72" s="172">
        <v>237.78</v>
      </c>
      <c r="H72" s="174">
        <f t="shared" si="0"/>
        <v>951.12</v>
      </c>
      <c r="I72" s="175">
        <v>4</v>
      </c>
      <c r="J72" s="173">
        <f t="shared" si="3"/>
        <v>581.6</v>
      </c>
      <c r="K72" s="176">
        <f t="shared" si="1"/>
        <v>951.12</v>
      </c>
      <c r="M72" s="168"/>
    </row>
    <row r="73" spans="1:13" ht="42" x14ac:dyDescent="0.2">
      <c r="A73" s="169" t="s">
        <v>209</v>
      </c>
      <c r="B73" s="118" t="s">
        <v>210</v>
      </c>
      <c r="C73" s="170" t="s">
        <v>5</v>
      </c>
      <c r="D73" s="171">
        <v>12.95</v>
      </c>
      <c r="E73" s="171">
        <v>20.11</v>
      </c>
      <c r="F73" s="171">
        <f t="shared" si="2"/>
        <v>260.42</v>
      </c>
      <c r="G73" s="172">
        <v>26.3</v>
      </c>
      <c r="H73" s="174">
        <f t="shared" si="0"/>
        <v>340.58</v>
      </c>
      <c r="I73" s="175">
        <v>12.95</v>
      </c>
      <c r="J73" s="173">
        <f t="shared" si="3"/>
        <v>260.42</v>
      </c>
      <c r="K73" s="176">
        <f t="shared" si="1"/>
        <v>340.58</v>
      </c>
      <c r="M73" s="168"/>
    </row>
    <row r="74" spans="1:13" ht="21" x14ac:dyDescent="0.2">
      <c r="A74" s="169" t="s">
        <v>211</v>
      </c>
      <c r="B74" s="118" t="s">
        <v>212</v>
      </c>
      <c r="C74" s="170" t="s">
        <v>17</v>
      </c>
      <c r="D74" s="171">
        <v>130</v>
      </c>
      <c r="E74" s="171">
        <v>4.67</v>
      </c>
      <c r="F74" s="171">
        <f t="shared" si="2"/>
        <v>607.1</v>
      </c>
      <c r="G74" s="172">
        <v>6.14</v>
      </c>
      <c r="H74" s="174">
        <f t="shared" si="0"/>
        <v>798.2</v>
      </c>
      <c r="I74" s="175">
        <v>130</v>
      </c>
      <c r="J74" s="173">
        <f t="shared" si="3"/>
        <v>607.1</v>
      </c>
      <c r="K74" s="176">
        <f t="shared" si="1"/>
        <v>798.2</v>
      </c>
      <c r="M74" s="168"/>
    </row>
    <row r="75" spans="1:13" ht="21" x14ac:dyDescent="0.2">
      <c r="A75" s="169" t="s">
        <v>213</v>
      </c>
      <c r="B75" s="118" t="s">
        <v>214</v>
      </c>
      <c r="C75" s="170" t="s">
        <v>5</v>
      </c>
      <c r="D75" s="171">
        <v>17.559999999999999</v>
      </c>
      <c r="E75" s="171">
        <v>22.21</v>
      </c>
      <c r="F75" s="171">
        <f t="shared" si="2"/>
        <v>390</v>
      </c>
      <c r="G75" s="172">
        <v>26.46</v>
      </c>
      <c r="H75" s="174">
        <f t="shared" si="0"/>
        <v>464.63</v>
      </c>
      <c r="I75" s="175">
        <v>17.559999999999999</v>
      </c>
      <c r="J75" s="173">
        <f t="shared" si="3"/>
        <v>390</v>
      </c>
      <c r="K75" s="176">
        <f t="shared" si="1"/>
        <v>464.63</v>
      </c>
      <c r="M75" s="168"/>
    </row>
    <row r="76" spans="1:13" ht="15" customHeight="1" x14ac:dyDescent="0.2">
      <c r="A76" s="169" t="s">
        <v>215</v>
      </c>
      <c r="B76" s="118" t="s">
        <v>216</v>
      </c>
      <c r="C76" s="170" t="s">
        <v>5</v>
      </c>
      <c r="D76" s="171">
        <v>131.72</v>
      </c>
      <c r="E76" s="171">
        <v>29.06</v>
      </c>
      <c r="F76" s="171">
        <f t="shared" si="2"/>
        <v>3827.78</v>
      </c>
      <c r="G76" s="172">
        <v>34.81</v>
      </c>
      <c r="H76" s="174">
        <f t="shared" si="0"/>
        <v>4585.17</v>
      </c>
      <c r="I76" s="175">
        <v>131.72</v>
      </c>
      <c r="J76" s="173">
        <f t="shared" si="3"/>
        <v>3827.78</v>
      </c>
      <c r="K76" s="176">
        <f t="shared" si="1"/>
        <v>4585.17</v>
      </c>
      <c r="M76" s="168"/>
    </row>
    <row r="77" spans="1:13" ht="52.5" x14ac:dyDescent="0.2">
      <c r="A77" s="169" t="s">
        <v>217</v>
      </c>
      <c r="B77" s="118" t="s">
        <v>206</v>
      </c>
      <c r="C77" s="170" t="s">
        <v>17</v>
      </c>
      <c r="D77" s="171">
        <v>23.6</v>
      </c>
      <c r="E77" s="171">
        <v>46.18</v>
      </c>
      <c r="F77" s="171">
        <f t="shared" si="2"/>
        <v>1089.8399999999999</v>
      </c>
      <c r="G77" s="172">
        <v>64.63</v>
      </c>
      <c r="H77" s="174">
        <f t="shared" si="0"/>
        <v>1525.26</v>
      </c>
      <c r="I77" s="175">
        <v>23.6</v>
      </c>
      <c r="J77" s="173">
        <f t="shared" si="3"/>
        <v>1089.8399999999999</v>
      </c>
      <c r="K77" s="176">
        <f t="shared" si="1"/>
        <v>1525.26</v>
      </c>
      <c r="M77" s="168"/>
    </row>
    <row r="78" spans="1:13" ht="21" x14ac:dyDescent="0.2">
      <c r="A78" s="169" t="s">
        <v>218</v>
      </c>
      <c r="B78" s="118" t="s">
        <v>14</v>
      </c>
      <c r="C78" s="170" t="s">
        <v>10</v>
      </c>
      <c r="D78" s="171">
        <v>13.17</v>
      </c>
      <c r="E78" s="171">
        <v>77.11</v>
      </c>
      <c r="F78" s="171">
        <f t="shared" si="2"/>
        <v>1015.53</v>
      </c>
      <c r="G78" s="172">
        <v>107.92</v>
      </c>
      <c r="H78" s="174">
        <f t="shared" si="0"/>
        <v>1421.3</v>
      </c>
      <c r="I78" s="175">
        <v>13.17</v>
      </c>
      <c r="J78" s="173">
        <f t="shared" si="3"/>
        <v>1015.53</v>
      </c>
      <c r="K78" s="176">
        <f t="shared" si="1"/>
        <v>1421.3</v>
      </c>
      <c r="M78" s="168"/>
    </row>
    <row r="79" spans="1:13" x14ac:dyDescent="0.2">
      <c r="A79" s="158" t="s">
        <v>219</v>
      </c>
      <c r="B79" s="159" t="s">
        <v>220</v>
      </c>
      <c r="C79" s="160"/>
      <c r="D79" s="161"/>
      <c r="E79" s="162"/>
      <c r="F79" s="163"/>
      <c r="G79" s="162"/>
      <c r="H79" s="164"/>
      <c r="I79" s="165"/>
      <c r="J79" s="166"/>
      <c r="K79" s="167"/>
      <c r="M79" s="168"/>
    </row>
    <row r="80" spans="1:13" ht="12" customHeight="1" x14ac:dyDescent="0.2">
      <c r="A80" s="169" t="s">
        <v>221</v>
      </c>
      <c r="B80" s="118" t="s">
        <v>222</v>
      </c>
      <c r="C80" s="170" t="s">
        <v>5</v>
      </c>
      <c r="D80" s="171">
        <v>849.73</v>
      </c>
      <c r="E80" s="171">
        <v>4.95</v>
      </c>
      <c r="F80" s="171">
        <f t="shared" si="2"/>
        <v>4206.16</v>
      </c>
      <c r="G80" s="172">
        <v>5.69</v>
      </c>
      <c r="H80" s="174">
        <f t="shared" si="0"/>
        <v>4834.96</v>
      </c>
      <c r="I80" s="175">
        <v>849.73</v>
      </c>
      <c r="J80" s="173">
        <f t="shared" si="3"/>
        <v>4206.16</v>
      </c>
      <c r="K80" s="176">
        <f t="shared" ref="K80:K85" si="4">TRUNC($I80*G80,2)</f>
        <v>4834.96</v>
      </c>
      <c r="M80" s="168"/>
    </row>
    <row r="81" spans="1:13" ht="15" customHeight="1" x14ac:dyDescent="0.2">
      <c r="A81" s="169" t="s">
        <v>223</v>
      </c>
      <c r="B81" s="118" t="s">
        <v>224</v>
      </c>
      <c r="C81" s="170" t="s">
        <v>6</v>
      </c>
      <c r="D81" s="171">
        <v>10</v>
      </c>
      <c r="E81" s="171">
        <v>162.96</v>
      </c>
      <c r="F81" s="171">
        <f t="shared" ref="F81:F83" si="5">TRUNC(D81*E81,2)</f>
        <v>1629.6</v>
      </c>
      <c r="G81" s="172">
        <v>245.52</v>
      </c>
      <c r="H81" s="174">
        <f t="shared" ref="H81" si="6">TRUNC($D81*G81,2)</f>
        <v>2455.1999999999998</v>
      </c>
      <c r="I81" s="175">
        <v>10</v>
      </c>
      <c r="J81" s="173">
        <f t="shared" ref="J81:J83" si="7">TRUNC($I81*E81,2)</f>
        <v>1629.6</v>
      </c>
      <c r="K81" s="176">
        <f t="shared" si="4"/>
        <v>2455.1999999999998</v>
      </c>
      <c r="M81" s="168"/>
    </row>
    <row r="82" spans="1:13" x14ac:dyDescent="0.2">
      <c r="A82" s="158" t="s">
        <v>225</v>
      </c>
      <c r="B82" s="159" t="s">
        <v>23</v>
      </c>
      <c r="C82" s="160"/>
      <c r="D82" s="161"/>
      <c r="E82" s="162"/>
      <c r="F82" s="163"/>
      <c r="G82" s="162"/>
      <c r="H82" s="164"/>
      <c r="I82" s="165"/>
      <c r="J82" s="166"/>
      <c r="K82" s="167"/>
      <c r="M82" s="168"/>
    </row>
    <row r="83" spans="1:13" x14ac:dyDescent="0.2">
      <c r="A83" s="169" t="s">
        <v>226</v>
      </c>
      <c r="B83" s="118" t="s">
        <v>23</v>
      </c>
      <c r="C83" s="170" t="s">
        <v>6</v>
      </c>
      <c r="D83" s="171">
        <v>1</v>
      </c>
      <c r="E83" s="171">
        <v>24288.15</v>
      </c>
      <c r="F83" s="171">
        <f t="shared" si="5"/>
        <v>24288.15</v>
      </c>
      <c r="G83" s="172">
        <v>24525.71</v>
      </c>
      <c r="H83" s="174">
        <f t="shared" ref="H83" si="8">TRUNC($D83*G83,2)</f>
        <v>24525.71</v>
      </c>
      <c r="I83" s="175">
        <v>1</v>
      </c>
      <c r="J83" s="173">
        <f t="shared" si="7"/>
        <v>24288.15</v>
      </c>
      <c r="K83" s="176">
        <f t="shared" si="4"/>
        <v>24525.71</v>
      </c>
      <c r="M83" s="168"/>
    </row>
    <row r="84" spans="1:13" x14ac:dyDescent="0.2">
      <c r="A84" s="158">
        <v>3</v>
      </c>
      <c r="B84" s="159" t="s">
        <v>58</v>
      </c>
      <c r="C84" s="160"/>
      <c r="D84" s="161"/>
      <c r="E84" s="162"/>
      <c r="F84" s="163"/>
      <c r="G84" s="162"/>
      <c r="H84" s="164"/>
      <c r="I84" s="165"/>
      <c r="J84" s="166">
        <f>SUM(J85:J94)</f>
        <v>14924.640000000001</v>
      </c>
      <c r="K84" s="166">
        <f>SUM(K85:K94)</f>
        <v>20452.740000000005</v>
      </c>
      <c r="M84" s="168"/>
    </row>
    <row r="85" spans="1:13" x14ac:dyDescent="0.2">
      <c r="A85" s="169" t="str">
        <f>'01_PLANILHA_ADEQUAÇÃO'!A83</f>
        <v>3.1</v>
      </c>
      <c r="B85" s="118" t="s">
        <v>292</v>
      </c>
      <c r="C85" s="170" t="str">
        <f>'01_PLANILHA_ADEQUAÇÃO'!C83</f>
        <v>m³</v>
      </c>
      <c r="D85" s="171"/>
      <c r="E85" s="236">
        <v>78.08</v>
      </c>
      <c r="F85" s="171"/>
      <c r="G85" s="121">
        <v>107.04365599999998</v>
      </c>
      <c r="H85" s="174"/>
      <c r="I85" s="175">
        <v>19.180000000000003</v>
      </c>
      <c r="J85" s="173">
        <f>TRUNC($I85*E85,2)</f>
        <v>1497.57</v>
      </c>
      <c r="K85" s="176">
        <f t="shared" si="4"/>
        <v>2053.09</v>
      </c>
      <c r="M85" s="168"/>
    </row>
    <row r="86" spans="1:13" x14ac:dyDescent="0.2">
      <c r="A86" s="169" t="str">
        <f>'01_PLANILHA_ADEQUAÇÃO'!A84</f>
        <v>3.2</v>
      </c>
      <c r="B86" s="118" t="s">
        <v>297</v>
      </c>
      <c r="C86" s="170" t="str">
        <f>'01_PLANILHA_ADEQUAÇÃO'!C84</f>
        <v>m²</v>
      </c>
      <c r="D86" s="171"/>
      <c r="E86" s="236">
        <v>1.18</v>
      </c>
      <c r="F86" s="171"/>
      <c r="G86" s="121">
        <v>1.6124471999999999</v>
      </c>
      <c r="H86" s="174"/>
      <c r="I86" s="175">
        <v>1769.62</v>
      </c>
      <c r="J86" s="173">
        <f t="shared" ref="J86:J94" si="9">TRUNC($I86*E86,2)</f>
        <v>2088.15</v>
      </c>
      <c r="K86" s="176">
        <f t="shared" ref="K86:K94" si="10">TRUNC($I86*G86,2)</f>
        <v>2853.41</v>
      </c>
      <c r="M86" s="168"/>
    </row>
    <row r="87" spans="1:13" ht="21" x14ac:dyDescent="0.2">
      <c r="A87" s="169" t="str">
        <f>'01_PLANILHA_ADEQUAÇÃO'!A85</f>
        <v>3.3</v>
      </c>
      <c r="B87" s="118" t="s">
        <v>313</v>
      </c>
      <c r="C87" s="170" t="str">
        <f>'01_PLANILHA_ADEQUAÇÃO'!C85</f>
        <v>m³</v>
      </c>
      <c r="D87" s="171"/>
      <c r="E87" s="236">
        <v>60.879236061</v>
      </c>
      <c r="F87" s="171"/>
      <c r="G87" s="121">
        <v>83.464814999999987</v>
      </c>
      <c r="H87" s="174"/>
      <c r="I87" s="175">
        <v>8.6310000000000002</v>
      </c>
      <c r="J87" s="173">
        <f t="shared" si="9"/>
        <v>525.44000000000005</v>
      </c>
      <c r="K87" s="176">
        <f t="shared" si="10"/>
        <v>720.38</v>
      </c>
      <c r="M87" s="168"/>
    </row>
    <row r="88" spans="1:13" x14ac:dyDescent="0.2">
      <c r="A88" s="169" t="str">
        <f>'01_PLANILHA_ADEQUAÇÃO'!A86</f>
        <v>3.4</v>
      </c>
      <c r="B88" s="118" t="s">
        <v>255</v>
      </c>
      <c r="C88" s="170" t="str">
        <f>'01_PLANILHA_ADEQUAÇÃO'!C86</f>
        <v>UND</v>
      </c>
      <c r="D88" s="171"/>
      <c r="E88" s="236">
        <v>417.46</v>
      </c>
      <c r="F88" s="171"/>
      <c r="G88" s="121">
        <v>572.33015999999998</v>
      </c>
      <c r="H88" s="174"/>
      <c r="I88" s="175">
        <v>6</v>
      </c>
      <c r="J88" s="173">
        <f t="shared" si="9"/>
        <v>2504.7600000000002</v>
      </c>
      <c r="K88" s="176">
        <f t="shared" si="10"/>
        <v>3433.98</v>
      </c>
      <c r="M88" s="168"/>
    </row>
    <row r="89" spans="1:13" ht="21" x14ac:dyDescent="0.2">
      <c r="A89" s="169" t="str">
        <f>'01_PLANILHA_ADEQUAÇÃO'!A87</f>
        <v>3.5</v>
      </c>
      <c r="B89" s="118" t="s">
        <v>256</v>
      </c>
      <c r="C89" s="170" t="str">
        <f>'01_PLANILHA_ADEQUAÇÃO'!C87</f>
        <v>M²</v>
      </c>
      <c r="D89" s="171"/>
      <c r="E89" s="236">
        <v>31.98</v>
      </c>
      <c r="F89" s="171"/>
      <c r="G89" s="121">
        <v>43.849125905000001</v>
      </c>
      <c r="H89" s="174"/>
      <c r="I89" s="175">
        <v>57.359999999999992</v>
      </c>
      <c r="J89" s="173">
        <f t="shared" si="9"/>
        <v>1834.37</v>
      </c>
      <c r="K89" s="176">
        <f t="shared" si="10"/>
        <v>2515.1799999999998</v>
      </c>
      <c r="M89" s="168"/>
    </row>
    <row r="90" spans="1:13" ht="31.5" x14ac:dyDescent="0.2">
      <c r="A90" s="169" t="str">
        <f>'01_PLANILHA_ADEQUAÇÃO'!A88</f>
        <v>3.6</v>
      </c>
      <c r="B90" s="118" t="s">
        <v>257</v>
      </c>
      <c r="C90" s="170" t="str">
        <f>'01_PLANILHA_ADEQUAÇÃO'!C88</f>
        <v>M</v>
      </c>
      <c r="D90" s="171"/>
      <c r="E90" s="236">
        <v>16.940000000000001</v>
      </c>
      <c r="F90" s="171"/>
      <c r="G90" s="121">
        <v>23.224442233999998</v>
      </c>
      <c r="H90" s="174"/>
      <c r="I90" s="175">
        <v>241</v>
      </c>
      <c r="J90" s="173">
        <f t="shared" si="9"/>
        <v>4082.54</v>
      </c>
      <c r="K90" s="176">
        <f t="shared" si="10"/>
        <v>5597.09</v>
      </c>
      <c r="M90" s="168"/>
    </row>
    <row r="91" spans="1:13" x14ac:dyDescent="0.2">
      <c r="A91" s="169" t="str">
        <f>'01_PLANILHA_ADEQUAÇÃO'!A89</f>
        <v>3.7</v>
      </c>
      <c r="B91" s="118" t="s">
        <v>277</v>
      </c>
      <c r="C91" s="170" t="str">
        <f>'01_PLANILHA_ADEQUAÇÃO'!C89</f>
        <v>M2</v>
      </c>
      <c r="D91" s="171"/>
      <c r="E91" s="236">
        <v>7.36</v>
      </c>
      <c r="F91" s="171"/>
      <c r="G91" s="121">
        <v>10.0967447</v>
      </c>
      <c r="H91" s="174"/>
      <c r="I91" s="175">
        <v>85.29</v>
      </c>
      <c r="J91" s="173">
        <f t="shared" si="9"/>
        <v>627.73</v>
      </c>
      <c r="K91" s="176">
        <f t="shared" si="10"/>
        <v>861.15</v>
      </c>
      <c r="M91" s="168"/>
    </row>
    <row r="92" spans="1:13" ht="52.5" x14ac:dyDescent="0.2">
      <c r="A92" s="169" t="str">
        <f>'01_PLANILHA_ADEQUAÇÃO'!A90</f>
        <v>3.8</v>
      </c>
      <c r="B92" s="118" t="s">
        <v>280</v>
      </c>
      <c r="C92" s="170" t="str">
        <f>'01_PLANILHA_ADEQUAÇÃO'!C90</f>
        <v>M2</v>
      </c>
      <c r="D92" s="171"/>
      <c r="E92" s="236">
        <v>31.49</v>
      </c>
      <c r="F92" s="171"/>
      <c r="G92" s="121">
        <v>43.165939999999992</v>
      </c>
      <c r="H92" s="174"/>
      <c r="I92" s="175">
        <v>10</v>
      </c>
      <c r="J92" s="173">
        <f t="shared" si="9"/>
        <v>314.89999999999998</v>
      </c>
      <c r="K92" s="176">
        <f t="shared" si="10"/>
        <v>431.65</v>
      </c>
      <c r="M92" s="168"/>
    </row>
    <row r="93" spans="1:13" ht="52.5" x14ac:dyDescent="0.2">
      <c r="A93" s="169" t="str">
        <f>'01_PLANILHA_ADEQUAÇÃO'!A91</f>
        <v>3.9</v>
      </c>
      <c r="B93" s="118" t="s">
        <v>282</v>
      </c>
      <c r="C93" s="170" t="str">
        <f>'01_PLANILHA_ADEQUAÇÃO'!C91</f>
        <v>UND</v>
      </c>
      <c r="D93" s="171"/>
      <c r="E93" s="236">
        <v>358.29</v>
      </c>
      <c r="F93" s="171"/>
      <c r="G93" s="121">
        <v>491.21559999999994</v>
      </c>
      <c r="H93" s="174"/>
      <c r="I93" s="175">
        <v>2</v>
      </c>
      <c r="J93" s="173">
        <f t="shared" si="9"/>
        <v>716.58</v>
      </c>
      <c r="K93" s="176">
        <f t="shared" si="10"/>
        <v>982.43</v>
      </c>
      <c r="M93" s="168"/>
    </row>
    <row r="94" spans="1:13" ht="21" x14ac:dyDescent="0.2">
      <c r="A94" s="169" t="str">
        <f>'01_PLANILHA_ADEQUAÇÃO'!A92</f>
        <v>3.10</v>
      </c>
      <c r="B94" s="118" t="s">
        <v>283</v>
      </c>
      <c r="C94" s="170" t="str">
        <f>'01_PLANILHA_ADEQUAÇÃO'!C92</f>
        <v>M</v>
      </c>
      <c r="D94" s="171"/>
      <c r="E94" s="236">
        <v>48.84</v>
      </c>
      <c r="F94" s="171"/>
      <c r="G94" s="121">
        <v>66.959281759999996</v>
      </c>
      <c r="H94" s="174"/>
      <c r="I94" s="175">
        <v>15</v>
      </c>
      <c r="J94" s="173">
        <f t="shared" si="9"/>
        <v>732.6</v>
      </c>
      <c r="K94" s="176">
        <f t="shared" si="10"/>
        <v>1004.38</v>
      </c>
      <c r="M94" s="168"/>
    </row>
    <row r="95" spans="1:13" x14ac:dyDescent="0.2">
      <c r="A95" s="177"/>
      <c r="B95" s="178"/>
      <c r="C95" s="179"/>
      <c r="D95" s="180"/>
      <c r="E95" s="181"/>
      <c r="F95" s="184"/>
      <c r="G95" s="121">
        <f>'01_PLANILHA_ADEQUAÇÃO'!F93</f>
        <v>0</v>
      </c>
      <c r="H95" s="185"/>
      <c r="I95" s="182"/>
      <c r="J95" s="186"/>
      <c r="K95" s="183"/>
      <c r="M95" s="168"/>
    </row>
    <row r="96" spans="1:13" ht="15" customHeight="1" x14ac:dyDescent="0.2">
      <c r="A96" s="187"/>
      <c r="B96" s="188" t="s">
        <v>99</v>
      </c>
      <c r="C96" s="189"/>
      <c r="D96" s="190"/>
      <c r="E96" s="191"/>
      <c r="F96" s="192">
        <f>SUM(F14,F25)</f>
        <v>314000</v>
      </c>
      <c r="G96" s="193"/>
      <c r="H96" s="192">
        <f>SUM(H14,H25)</f>
        <v>430480.13000000006</v>
      </c>
      <c r="I96" s="194"/>
      <c r="J96" s="192">
        <f>SUM(J14,J25,J84)-0.04</f>
        <v>367216.41000000003</v>
      </c>
      <c r="K96" s="192">
        <f>SUM(K14,K25,K84)-0.04</f>
        <v>502895.84000000008</v>
      </c>
      <c r="M96" s="168"/>
    </row>
    <row r="97" spans="1:11" ht="20.100000000000001" customHeight="1" x14ac:dyDescent="0.2">
      <c r="A97" s="195"/>
      <c r="K97" s="196"/>
    </row>
    <row r="98" spans="1:11" ht="20.100000000000001" customHeight="1" x14ac:dyDescent="0.2">
      <c r="A98" s="197"/>
      <c r="B98" s="198"/>
      <c r="C98" s="199"/>
      <c r="D98" s="326" t="s">
        <v>100</v>
      </c>
      <c r="E98" s="327"/>
      <c r="F98" s="327"/>
      <c r="G98" s="328"/>
      <c r="H98" s="200">
        <f>($H$96-$F$96)/$H$96</f>
        <v>0.27058189654421461</v>
      </c>
      <c r="I98" s="329" t="s">
        <v>101</v>
      </c>
      <c r="J98" s="330"/>
      <c r="K98" s="200">
        <f>($K$96-$J$96)/$K$96</f>
        <v>0.26979628624488128</v>
      </c>
    </row>
    <row r="99" spans="1:11" ht="20.100000000000001" customHeight="1" x14ac:dyDescent="0.2"/>
    <row r="100" spans="1:11" ht="12.75" customHeight="1" x14ac:dyDescent="0.2">
      <c r="A100" s="201" t="s">
        <v>102</v>
      </c>
      <c r="B100" s="321" t="s">
        <v>103</v>
      </c>
      <c r="C100" s="322"/>
      <c r="D100" s="202">
        <f>K96</f>
        <v>502895.84000000008</v>
      </c>
    </row>
    <row r="101" spans="1:11" ht="13.5" customHeight="1" x14ac:dyDescent="0.2">
      <c r="A101" s="201" t="s">
        <v>104</v>
      </c>
      <c r="B101" s="321" t="s">
        <v>105</v>
      </c>
      <c r="C101" s="322"/>
      <c r="D101" s="203">
        <f>D100*H98</f>
        <v>136074.51015139592</v>
      </c>
    </row>
    <row r="102" spans="1:11" ht="13.5" customHeight="1" x14ac:dyDescent="0.2">
      <c r="A102" s="204" t="s">
        <v>106</v>
      </c>
      <c r="B102" s="321" t="s">
        <v>107</v>
      </c>
      <c r="C102" s="322"/>
      <c r="D102" s="203">
        <f>D100-D101</f>
        <v>366821.32984860416</v>
      </c>
      <c r="F102" s="205"/>
    </row>
    <row r="103" spans="1:11" ht="15.75" customHeight="1" x14ac:dyDescent="0.2">
      <c r="A103" s="201" t="s">
        <v>108</v>
      </c>
      <c r="B103" s="321" t="s">
        <v>109</v>
      </c>
      <c r="C103" s="322"/>
      <c r="D103" s="203">
        <f>J96</f>
        <v>367216.41000000003</v>
      </c>
      <c r="J103" s="205"/>
    </row>
    <row r="104" spans="1:11" ht="14.25" customHeight="1" x14ac:dyDescent="0.2">
      <c r="A104" s="201" t="s">
        <v>110</v>
      </c>
      <c r="B104" s="321" t="s">
        <v>111</v>
      </c>
      <c r="C104" s="322"/>
      <c r="D104" s="244">
        <f>D103-D102</f>
        <v>395.08015139587224</v>
      </c>
      <c r="E104" s="206"/>
      <c r="H104" s="205"/>
    </row>
    <row r="105" spans="1:11" ht="20.100000000000001" customHeight="1" x14ac:dyDescent="0.2">
      <c r="H105" s="205"/>
    </row>
    <row r="106" spans="1:11" x14ac:dyDescent="0.2">
      <c r="G106" s="207"/>
    </row>
    <row r="107" spans="1:11" x14ac:dyDescent="0.2">
      <c r="D107" s="208"/>
      <c r="E107" s="205"/>
      <c r="F107" s="209"/>
      <c r="G107" s="207"/>
    </row>
    <row r="108" spans="1:11" x14ac:dyDescent="0.2">
      <c r="E108" s="205"/>
    </row>
    <row r="109" spans="1:11" x14ac:dyDescent="0.2">
      <c r="E109" s="205"/>
      <c r="G109" s="205"/>
    </row>
    <row r="112" spans="1:11" x14ac:dyDescent="0.2">
      <c r="G112" s="205"/>
    </row>
  </sheetData>
  <mergeCells count="24">
    <mergeCell ref="B102:C102"/>
    <mergeCell ref="B103:C103"/>
    <mergeCell ref="B104:C104"/>
    <mergeCell ref="K11:K12"/>
    <mergeCell ref="E12:F12"/>
    <mergeCell ref="D98:G98"/>
    <mergeCell ref="I98:J98"/>
    <mergeCell ref="B100:C100"/>
    <mergeCell ref="B101:C101"/>
    <mergeCell ref="A10:A13"/>
    <mergeCell ref="B10:B13"/>
    <mergeCell ref="C10:C13"/>
    <mergeCell ref="D10:H10"/>
    <mergeCell ref="I10:K10"/>
    <mergeCell ref="D11:D13"/>
    <mergeCell ref="E11:F11"/>
    <mergeCell ref="G11:H12"/>
    <mergeCell ref="I11:I13"/>
    <mergeCell ref="J11:J12"/>
    <mergeCell ref="A8:K8"/>
    <mergeCell ref="A2:K2"/>
    <mergeCell ref="A3:K3"/>
    <mergeCell ref="A4:K4"/>
    <mergeCell ref="A6:K6"/>
  </mergeCells>
  <phoneticPr fontId="37" type="noConversion"/>
  <pageMargins left="0.51181102362204722" right="0.51181102362204722" top="0.39370078740157483" bottom="0.98425196850393704" header="0.31496062992125984" footer="0.31496062992125984"/>
  <pageSetup paperSize="9" scale="70" fitToHeight="0" orientation="landscape" verticalDpi="300" r:id="rId1"/>
  <headerFooter>
    <oddFooter>&amp;R&amp;"Tahoma,Normal"&amp;8Página &amp;P de &amp;N</oddFooter>
  </headerFooter>
  <ignoredErrors>
    <ignoredError sqref="J8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showGridLines="0" view="pageBreakPreview" topLeftCell="A26" zoomScaleNormal="90" zoomScaleSheetLayoutView="100" workbookViewId="0">
      <selection activeCell="D50" sqref="D50"/>
    </sheetView>
  </sheetViews>
  <sheetFormatPr defaultColWidth="9" defaultRowHeight="15" x14ac:dyDescent="0.2"/>
  <cols>
    <col min="1" max="1" width="10.375" style="5" customWidth="1"/>
    <col min="2" max="2" width="35" style="3" customWidth="1"/>
    <col min="3" max="3" width="17.75" style="4" bestFit="1" customWidth="1"/>
    <col min="4" max="4" width="14.625" style="3" customWidth="1"/>
    <col min="5" max="5" width="19.75" style="3" customWidth="1"/>
    <col min="6" max="6" width="20" style="3" customWidth="1"/>
    <col min="7" max="7" width="22.75" style="3" customWidth="1"/>
    <col min="8" max="15" width="12" style="3" bestFit="1" customWidth="1"/>
    <col min="16" max="16384" width="9" style="3"/>
  </cols>
  <sheetData>
    <row r="1" spans="1:8" s="2" customFormat="1" x14ac:dyDescent="0.2">
      <c r="A1" s="16"/>
      <c r="B1" s="351" t="s">
        <v>33</v>
      </c>
      <c r="C1" s="351"/>
      <c r="D1" s="351"/>
    </row>
    <row r="2" spans="1:8" s="2" customFormat="1" x14ac:dyDescent="0.2">
      <c r="A2" s="16"/>
      <c r="B2" s="351" t="s">
        <v>34</v>
      </c>
      <c r="C2" s="351"/>
      <c r="D2" s="351"/>
    </row>
    <row r="3" spans="1:8" s="2" customFormat="1" x14ac:dyDescent="0.2">
      <c r="A3" s="16"/>
      <c r="B3" s="351" t="s">
        <v>35</v>
      </c>
      <c r="C3" s="351"/>
      <c r="D3" s="351"/>
    </row>
    <row r="4" spans="1:8" s="2" customFormat="1" ht="15" customHeight="1" x14ac:dyDescent="0.2">
      <c r="A4" s="352" t="str">
        <f>'01_PLANILHA_ADEQUAÇÃO'!$A$3:$L$3</f>
        <v>OBRA: CONSTRUÇÃO DO MURO FRONTAL DO PARQUE TECNOLÓGICO - CAMPUS MOSSORÓ/RN (1ª ETAPA DA OBRA)</v>
      </c>
      <c r="B4" s="352"/>
      <c r="C4" s="352"/>
      <c r="D4" s="352"/>
      <c r="E4" s="352"/>
      <c r="F4" s="352"/>
    </row>
    <row r="5" spans="1:8" s="2" customFormat="1" ht="15" customHeight="1" x14ac:dyDescent="0.2">
      <c r="A5" s="352" t="s">
        <v>48</v>
      </c>
      <c r="B5" s="352"/>
      <c r="C5" s="352"/>
      <c r="D5" s="352"/>
      <c r="E5" s="352"/>
      <c r="F5" s="352"/>
    </row>
    <row r="6" spans="1:8" s="2" customFormat="1" ht="15" customHeight="1" x14ac:dyDescent="0.2">
      <c r="A6" s="283" t="str">
        <f>'01_PLANILHA_ADEQUAÇÃO'!$A$5:$L$5</f>
        <v>CONTRATO: 34/2022.</v>
      </c>
      <c r="B6" s="283"/>
      <c r="C6" s="283"/>
      <c r="D6" s="283"/>
      <c r="E6" s="283"/>
      <c r="F6" s="283"/>
    </row>
    <row r="7" spans="1:8" s="2" customFormat="1" ht="15" customHeight="1" x14ac:dyDescent="0.2">
      <c r="A7" s="275" t="str">
        <f>'01_PLANILHA_ADEQUAÇÃO'!$A$6:$L$6</f>
        <v>Data: 01 de Dezembro de 2022</v>
      </c>
      <c r="B7" s="275"/>
      <c r="C7" s="275"/>
      <c r="D7" s="275"/>
      <c r="E7" s="275"/>
      <c r="F7" s="275"/>
    </row>
    <row r="8" spans="1:8" s="2" customFormat="1" ht="12.75" x14ac:dyDescent="0.2">
      <c r="A8" s="212" t="str">
        <f>'01_PLANILHA_ADEQUAÇÃO'!$A$5:$L$5</f>
        <v>CONTRATO: 34/2022.</v>
      </c>
      <c r="B8" s="213"/>
      <c r="C8" s="212"/>
      <c r="D8" s="213"/>
    </row>
    <row r="9" spans="1:8" s="2" customFormat="1" ht="15" customHeight="1" x14ac:dyDescent="0.2">
      <c r="A9" s="350" t="s">
        <v>46</v>
      </c>
      <c r="B9" s="350"/>
      <c r="C9" s="350"/>
      <c r="D9" s="350"/>
      <c r="E9" s="350"/>
      <c r="F9" s="350"/>
    </row>
    <row r="10" spans="1:8" s="2" customFormat="1" ht="15" customHeight="1" x14ac:dyDescent="0.2">
      <c r="A10" s="25"/>
      <c r="B10" s="25"/>
      <c r="C10" s="25"/>
      <c r="D10" s="25"/>
    </row>
    <row r="11" spans="1:8" s="4" customFormat="1" x14ac:dyDescent="0.2">
      <c r="A11" s="215" t="s">
        <v>0</v>
      </c>
      <c r="B11" s="216" t="s">
        <v>1</v>
      </c>
      <c r="C11" s="216" t="s">
        <v>240</v>
      </c>
      <c r="D11" s="217" t="s">
        <v>241</v>
      </c>
      <c r="E11" s="217" t="s">
        <v>242</v>
      </c>
      <c r="F11" s="217" t="s">
        <v>243</v>
      </c>
      <c r="G11" s="218" t="s">
        <v>244</v>
      </c>
    </row>
    <row r="12" spans="1:8" customFormat="1" ht="20.100000000000001" customHeight="1" x14ac:dyDescent="0.2">
      <c r="A12" s="332" t="s">
        <v>245</v>
      </c>
      <c r="B12" s="333" t="s">
        <v>3</v>
      </c>
      <c r="C12" s="219">
        <v>1</v>
      </c>
      <c r="D12" s="227">
        <f>D13/$C$13</f>
        <v>1</v>
      </c>
      <c r="E12" s="227">
        <f t="shared" ref="E12:G12" si="0">E13/$C$13</f>
        <v>0</v>
      </c>
      <c r="F12" s="227">
        <f t="shared" si="0"/>
        <v>0</v>
      </c>
      <c r="G12" s="227">
        <f t="shared" si="0"/>
        <v>0</v>
      </c>
      <c r="H12" s="33"/>
    </row>
    <row r="13" spans="1:8" customFormat="1" ht="20.100000000000001" customHeight="1" x14ac:dyDescent="0.2">
      <c r="A13" s="332"/>
      <c r="B13" s="334"/>
      <c r="C13" s="220">
        <f>SUM('01_PLANILHA_ADEQUAÇÃO'!$M$14:$M$22)</f>
        <v>11438.2</v>
      </c>
      <c r="D13" s="221">
        <f>C13</f>
        <v>11438.2</v>
      </c>
      <c r="E13" s="222"/>
      <c r="F13" s="222"/>
      <c r="G13" s="223"/>
    </row>
    <row r="14" spans="1:8" customFormat="1" ht="20.100000000000001" customHeight="1" x14ac:dyDescent="0.2">
      <c r="A14" s="332" t="s">
        <v>246</v>
      </c>
      <c r="B14" s="333" t="s">
        <v>135</v>
      </c>
      <c r="C14" s="219">
        <v>1</v>
      </c>
      <c r="D14" s="227">
        <f>D15/$C$15</f>
        <v>1</v>
      </c>
      <c r="E14" s="227">
        <f t="shared" ref="E14:G14" si="1">E15/$C$15</f>
        <v>0</v>
      </c>
      <c r="F14" s="227">
        <f t="shared" si="1"/>
        <v>0</v>
      </c>
      <c r="G14" s="227">
        <f t="shared" si="1"/>
        <v>0</v>
      </c>
      <c r="H14" s="33"/>
    </row>
    <row r="15" spans="1:8" customFormat="1" ht="20.100000000000001" customHeight="1" x14ac:dyDescent="0.2">
      <c r="A15" s="332"/>
      <c r="B15" s="334"/>
      <c r="C15" s="220">
        <f>SUM('01_PLANILHA_ADEQUAÇÃO'!$M$25:$M$35)</f>
        <v>28970.240000000005</v>
      </c>
      <c r="D15" s="221">
        <f>C15</f>
        <v>28970.240000000005</v>
      </c>
      <c r="E15" s="222"/>
      <c r="F15" s="222"/>
      <c r="G15" s="223"/>
      <c r="H15" s="50"/>
    </row>
    <row r="16" spans="1:8" customFormat="1" ht="20.100000000000001" customHeight="1" x14ac:dyDescent="0.2">
      <c r="A16" s="332" t="s">
        <v>247</v>
      </c>
      <c r="B16" s="333" t="s">
        <v>153</v>
      </c>
      <c r="C16" s="219">
        <v>1</v>
      </c>
      <c r="D16" s="227">
        <f>D17/$C$17</f>
        <v>0</v>
      </c>
      <c r="E16" s="227">
        <f t="shared" ref="E16:G16" si="2">E17/$C$17</f>
        <v>1</v>
      </c>
      <c r="F16" s="227">
        <f t="shared" si="2"/>
        <v>0</v>
      </c>
      <c r="G16" s="227">
        <f t="shared" si="2"/>
        <v>0</v>
      </c>
      <c r="H16" s="50"/>
    </row>
    <row r="17" spans="1:8" customFormat="1" ht="20.100000000000001" customHeight="1" x14ac:dyDescent="0.2">
      <c r="A17" s="332"/>
      <c r="B17" s="334"/>
      <c r="C17" s="220">
        <f>SUM('01_PLANILHA_ADEQUAÇÃO'!$M$37:$M$47)</f>
        <v>22967.239999999998</v>
      </c>
      <c r="D17" s="221"/>
      <c r="E17" s="221">
        <f>C17</f>
        <v>22967.239999999998</v>
      </c>
      <c r="F17" s="222"/>
      <c r="G17" s="223"/>
    </row>
    <row r="18" spans="1:8" customFormat="1" ht="20.100000000000001" customHeight="1" x14ac:dyDescent="0.2">
      <c r="A18" s="332" t="s">
        <v>248</v>
      </c>
      <c r="B18" s="333" t="s">
        <v>170</v>
      </c>
      <c r="C18" s="219">
        <v>1</v>
      </c>
      <c r="D18" s="227">
        <f>D19/$C$19</f>
        <v>0</v>
      </c>
      <c r="E18" s="227">
        <f t="shared" ref="E18:G18" si="3">E19/$C$19</f>
        <v>0</v>
      </c>
      <c r="F18" s="227">
        <f t="shared" si="3"/>
        <v>0</v>
      </c>
      <c r="G18" s="227">
        <f t="shared" si="3"/>
        <v>0</v>
      </c>
    </row>
    <row r="19" spans="1:8" customFormat="1" ht="20.100000000000001" customHeight="1" x14ac:dyDescent="0.2">
      <c r="A19" s="332"/>
      <c r="B19" s="334"/>
      <c r="C19" s="220">
        <f>SUM('01_PLANILHA_ADEQUAÇÃO'!$M$49:$M$50)</f>
        <v>10571.74</v>
      </c>
      <c r="D19" s="222"/>
      <c r="E19" s="222"/>
      <c r="F19" s="222"/>
      <c r="G19" s="222"/>
    </row>
    <row r="20" spans="1:8" customFormat="1" ht="20.100000000000001" customHeight="1" x14ac:dyDescent="0.2">
      <c r="A20" s="332" t="s">
        <v>249</v>
      </c>
      <c r="B20" s="331" t="s">
        <v>175</v>
      </c>
      <c r="C20" s="219">
        <v>1</v>
      </c>
      <c r="D20" s="227">
        <f>D21/$C$21</f>
        <v>0</v>
      </c>
      <c r="E20" s="227">
        <f t="shared" ref="E20:G20" si="4">E21/$C$21</f>
        <v>0.5</v>
      </c>
      <c r="F20" s="227">
        <f t="shared" si="4"/>
        <v>0.5</v>
      </c>
      <c r="G20" s="227">
        <f t="shared" si="4"/>
        <v>0</v>
      </c>
    </row>
    <row r="21" spans="1:8" customFormat="1" ht="20.100000000000001" customHeight="1" x14ac:dyDescent="0.2">
      <c r="A21" s="332"/>
      <c r="B21" s="331"/>
      <c r="C21" s="220">
        <f>SUM('01_PLANILHA_ADEQUAÇÃO'!$M$52:$M$55)</f>
        <v>26770.670000000002</v>
      </c>
      <c r="D21" s="222"/>
      <c r="E21" s="222">
        <f>C21*0.5</f>
        <v>13385.335000000001</v>
      </c>
      <c r="F21" s="222">
        <f>E21</f>
        <v>13385.335000000001</v>
      </c>
      <c r="G21" s="225"/>
    </row>
    <row r="22" spans="1:8" customFormat="1" ht="28.5" customHeight="1" x14ac:dyDescent="0.2">
      <c r="A22" s="332" t="s">
        <v>250</v>
      </c>
      <c r="B22" s="331" t="s">
        <v>20</v>
      </c>
      <c r="C22" s="219">
        <v>1</v>
      </c>
      <c r="D22" s="227">
        <f>D23/$C$23</f>
        <v>0</v>
      </c>
      <c r="E22" s="227">
        <f t="shared" ref="E22:G22" si="5">E23/$C$23</f>
        <v>0</v>
      </c>
      <c r="F22" s="227">
        <f t="shared" si="5"/>
        <v>0</v>
      </c>
      <c r="G22" s="227">
        <f t="shared" si="5"/>
        <v>1</v>
      </c>
    </row>
    <row r="23" spans="1:8" customFormat="1" ht="23.25" customHeight="1" x14ac:dyDescent="0.2">
      <c r="A23" s="332"/>
      <c r="B23" s="331"/>
      <c r="C23" s="224">
        <f>SUM('01_PLANILHA_ADEQUAÇÃO'!$M$57:$M$60)</f>
        <v>4957.1399999999994</v>
      </c>
      <c r="D23" s="222"/>
      <c r="E23" s="222"/>
      <c r="F23" s="222"/>
      <c r="G23" s="225">
        <f>C23</f>
        <v>4957.1399999999994</v>
      </c>
    </row>
    <row r="24" spans="1:8" customFormat="1" ht="20.100000000000001" customHeight="1" x14ac:dyDescent="0.2">
      <c r="A24" s="332" t="s">
        <v>251</v>
      </c>
      <c r="B24" s="331" t="s">
        <v>191</v>
      </c>
      <c r="C24" s="219">
        <v>1</v>
      </c>
      <c r="D24" s="227">
        <f>D25/$C$25</f>
        <v>0</v>
      </c>
      <c r="E24" s="227">
        <f t="shared" ref="E24:F24" si="6">E25/$C$25</f>
        <v>0</v>
      </c>
      <c r="F24" s="227">
        <f t="shared" si="6"/>
        <v>0.3</v>
      </c>
      <c r="G24" s="227">
        <f>G25/$C$25</f>
        <v>0.7</v>
      </c>
    </row>
    <row r="25" spans="1:8" customFormat="1" ht="20.100000000000001" customHeight="1" x14ac:dyDescent="0.2">
      <c r="A25" s="332"/>
      <c r="B25" s="331"/>
      <c r="C25" s="224">
        <f>SUM('01_PLANILHA_ADEQUAÇÃO'!$M$62:$M$63)</f>
        <v>36047.26</v>
      </c>
      <c r="D25" s="222"/>
      <c r="E25" s="222"/>
      <c r="F25" s="222">
        <f>C25*0.3</f>
        <v>10814.178</v>
      </c>
      <c r="G25" s="225">
        <f>C25*0.7</f>
        <v>25233.081999999999</v>
      </c>
    </row>
    <row r="26" spans="1:8" customFormat="1" ht="20.100000000000001" customHeight="1" x14ac:dyDescent="0.2">
      <c r="A26" s="332" t="s">
        <v>252</v>
      </c>
      <c r="B26" s="331" t="s">
        <v>197</v>
      </c>
      <c r="C26" s="219">
        <v>1</v>
      </c>
      <c r="D26" s="227">
        <f>D27/$C$27</f>
        <v>0</v>
      </c>
      <c r="E26" s="227">
        <f t="shared" ref="E26:G26" si="7">E27/$C$27</f>
        <v>0</v>
      </c>
      <c r="F26" s="227">
        <f t="shared" si="7"/>
        <v>0.5</v>
      </c>
      <c r="G26" s="227">
        <f t="shared" si="7"/>
        <v>0.5</v>
      </c>
    </row>
    <row r="27" spans="1:8" customFormat="1" ht="20.100000000000001" customHeight="1" x14ac:dyDescent="0.2">
      <c r="A27" s="332"/>
      <c r="B27" s="331"/>
      <c r="C27" s="224">
        <f>SUM('01_PLANILHA_ADEQUAÇÃO'!$M$65:$M$76)</f>
        <v>180445.41000000003</v>
      </c>
      <c r="D27" s="222"/>
      <c r="E27" s="222"/>
      <c r="F27" s="222">
        <f>C27*0.5</f>
        <v>90222.705000000016</v>
      </c>
      <c r="G27" s="223">
        <f>F27</f>
        <v>90222.705000000016</v>
      </c>
    </row>
    <row r="28" spans="1:8" customFormat="1" ht="20.100000000000001" customHeight="1" x14ac:dyDescent="0.2">
      <c r="A28" s="332" t="s">
        <v>253</v>
      </c>
      <c r="B28" s="331" t="s">
        <v>220</v>
      </c>
      <c r="C28" s="219">
        <v>1</v>
      </c>
      <c r="D28" s="227">
        <f>D29/$C$29</f>
        <v>0</v>
      </c>
      <c r="E28" s="227">
        <f t="shared" ref="E28:G28" si="8">E29/$C$29</f>
        <v>0</v>
      </c>
      <c r="F28" s="227">
        <f t="shared" si="8"/>
        <v>0</v>
      </c>
      <c r="G28" s="227">
        <f t="shared" si="8"/>
        <v>1</v>
      </c>
    </row>
    <row r="29" spans="1:8" customFormat="1" ht="20.100000000000001" customHeight="1" x14ac:dyDescent="0.2">
      <c r="A29" s="332"/>
      <c r="B29" s="331"/>
      <c r="C29" s="224">
        <f>SUM('01_PLANILHA_ADEQUAÇÃO'!$M$78:$M$79)</f>
        <v>5835.76</v>
      </c>
      <c r="D29" s="222"/>
      <c r="E29" s="222"/>
      <c r="F29" s="222"/>
      <c r="G29" s="225">
        <f>C29</f>
        <v>5835.76</v>
      </c>
    </row>
    <row r="30" spans="1:8" customFormat="1" ht="20.100000000000001" customHeight="1" x14ac:dyDescent="0.2">
      <c r="A30" s="332" t="s">
        <v>254</v>
      </c>
      <c r="B30" s="331" t="s">
        <v>23</v>
      </c>
      <c r="C30" s="219">
        <v>1</v>
      </c>
      <c r="D30" s="227">
        <f>D31/$C$31</f>
        <v>0.25</v>
      </c>
      <c r="E30" s="227">
        <f t="shared" ref="E30:G30" si="9">E31/$C$31</f>
        <v>0.25</v>
      </c>
      <c r="F30" s="227">
        <f t="shared" si="9"/>
        <v>0.25</v>
      </c>
      <c r="G30" s="227">
        <f t="shared" si="9"/>
        <v>0.25</v>
      </c>
      <c r="H30" s="33"/>
    </row>
    <row r="31" spans="1:8" customFormat="1" ht="20.100000000000001" customHeight="1" x14ac:dyDescent="0.2">
      <c r="A31" s="332"/>
      <c r="B31" s="331"/>
      <c r="C31" s="224">
        <f>'01_PLANILHA_ADEQUAÇÃO'!$M$81</f>
        <v>24288.15</v>
      </c>
      <c r="D31" s="222">
        <f>C31*0.25</f>
        <v>6072.0375000000004</v>
      </c>
      <c r="E31" s="222">
        <f>D31</f>
        <v>6072.0375000000004</v>
      </c>
      <c r="F31" s="222">
        <f>E31</f>
        <v>6072.0375000000004</v>
      </c>
      <c r="G31" s="223">
        <f>F31</f>
        <v>6072.0375000000004</v>
      </c>
    </row>
    <row r="32" spans="1:8" customFormat="1" ht="20.100000000000001" customHeight="1" thickBot="1" x14ac:dyDescent="0.25">
      <c r="A32" s="27"/>
      <c r="B32" s="26"/>
      <c r="C32" s="45"/>
      <c r="D32" s="29">
        <v>8043.95</v>
      </c>
      <c r="E32" s="28" t="e">
        <f>#REF!</f>
        <v>#REF!</v>
      </c>
      <c r="F32" s="47" t="e">
        <f>#REF!</f>
        <v>#REF!</v>
      </c>
      <c r="G32" s="46" t="e">
        <f>#REF!</f>
        <v>#REF!</v>
      </c>
    </row>
    <row r="33" spans="1:7" customFormat="1" ht="20.100000000000001" customHeight="1" thickBot="1" x14ac:dyDescent="0.25">
      <c r="A33" s="339" t="s">
        <v>24</v>
      </c>
      <c r="B33" s="340"/>
      <c r="C33" s="226">
        <f>SUM(C31,C29,C27,C25,C23,C21,C19,C17,C15,C13)</f>
        <v>352291.81</v>
      </c>
      <c r="D33" s="62" t="e">
        <f>D32+#REF!+D13+#REF!+D15</f>
        <v>#REF!</v>
      </c>
      <c r="E33" s="63" t="e">
        <f>E32+#REF!+#REF!+E17+E15+#REF!+E13+#REF!</f>
        <v>#REF!</v>
      </c>
      <c r="F33" s="64" t="e">
        <f>F32+#REF!+#REF!+F31+F17+F15+#REF!+F13+#REF!</f>
        <v>#REF!</v>
      </c>
      <c r="G33" s="64" t="e">
        <f>G17+G19+G23+G25+G31+#REF!+#REF!+#REF!+#REF!+G32</f>
        <v>#REF!</v>
      </c>
    </row>
    <row r="34" spans="1:7" customFormat="1" ht="20.100000000000001" customHeight="1" x14ac:dyDescent="0.2">
      <c r="A34" s="341" t="s">
        <v>36</v>
      </c>
      <c r="B34" s="342"/>
      <c r="C34" s="55"/>
      <c r="D34" s="56" t="e">
        <f>D35/$C$33</f>
        <v>#REF!</v>
      </c>
      <c r="E34" s="56" t="e">
        <f>E35/C33</f>
        <v>#REF!</v>
      </c>
      <c r="F34" s="56" t="e">
        <f>F35/C33</f>
        <v>#REF!</v>
      </c>
      <c r="G34" s="56" t="e">
        <f>G35/C33</f>
        <v>#REF!</v>
      </c>
    </row>
    <row r="35" spans="1:7" ht="15" customHeight="1" thickBot="1" x14ac:dyDescent="0.25">
      <c r="A35" s="343" t="s">
        <v>38</v>
      </c>
      <c r="B35" s="344"/>
      <c r="C35" s="57"/>
      <c r="D35" s="58" t="e">
        <f>D32+#REF!+D13+#REF!+D15</f>
        <v>#REF!</v>
      </c>
      <c r="E35" s="59" t="e">
        <f>E33+D35</f>
        <v>#REF!</v>
      </c>
      <c r="F35" s="60" t="e">
        <f>F33+E35</f>
        <v>#REF!</v>
      </c>
      <c r="G35" s="61" t="e">
        <f>G33+F35</f>
        <v>#REF!</v>
      </c>
    </row>
    <row r="36" spans="1:7" ht="15" customHeight="1" x14ac:dyDescent="0.2">
      <c r="A36" s="347" t="s">
        <v>49</v>
      </c>
      <c r="B36" s="348"/>
      <c r="C36" s="349"/>
      <c r="D36" s="51">
        <v>121434.45</v>
      </c>
      <c r="E36" s="52">
        <v>92567.29</v>
      </c>
      <c r="F36" s="53">
        <v>100164.93</v>
      </c>
      <c r="G36" s="54">
        <v>96448.52</v>
      </c>
    </row>
    <row r="37" spans="1:7" x14ac:dyDescent="0.2">
      <c r="A37" s="345" t="s">
        <v>37</v>
      </c>
      <c r="B37" s="346"/>
      <c r="C37" s="31"/>
      <c r="D37" s="35">
        <f>D36/C33</f>
        <v>0.34469847595946101</v>
      </c>
      <c r="E37" s="35">
        <f>E36/C33</f>
        <v>0.26275742828083343</v>
      </c>
      <c r="F37" s="35">
        <f>F36/C33</f>
        <v>0.28432375421954881</v>
      </c>
      <c r="G37" s="35">
        <f>G36/C33</f>
        <v>0.27377451664289332</v>
      </c>
    </row>
    <row r="38" spans="1:7" x14ac:dyDescent="0.2">
      <c r="A38" s="337" t="s">
        <v>39</v>
      </c>
      <c r="B38" s="338"/>
      <c r="C38" s="30"/>
      <c r="D38" s="34" t="e">
        <f>D35</f>
        <v>#REF!</v>
      </c>
      <c r="E38" s="34" t="e">
        <f>E36+D38</f>
        <v>#REF!</v>
      </c>
      <c r="F38" s="34" t="e">
        <f>F36+E38</f>
        <v>#REF!</v>
      </c>
      <c r="G38" s="48" t="e">
        <f>G36+F38</f>
        <v>#REF!</v>
      </c>
    </row>
    <row r="39" spans="1:7" ht="15.75" thickBot="1" x14ac:dyDescent="0.25">
      <c r="A39" s="335" t="s">
        <v>45</v>
      </c>
      <c r="B39" s="336"/>
      <c r="C39" s="32"/>
      <c r="D39" s="36">
        <f>D37</f>
        <v>0.34469847595946101</v>
      </c>
      <c r="E39" s="36" t="e">
        <f>E38/C33</f>
        <v>#REF!</v>
      </c>
      <c r="F39" s="36" t="e">
        <f>F38/C33</f>
        <v>#REF!</v>
      </c>
      <c r="G39" s="36" t="e">
        <f>G38/C33</f>
        <v>#REF!</v>
      </c>
    </row>
    <row r="112" spans="10:10" x14ac:dyDescent="0.2">
      <c r="J112" s="24"/>
    </row>
    <row r="122" spans="10:10" x14ac:dyDescent="0.2">
      <c r="J122" s="24"/>
    </row>
  </sheetData>
  <mergeCells count="35">
    <mergeCell ref="A12:A13"/>
    <mergeCell ref="B12:B13"/>
    <mergeCell ref="A14:A15"/>
    <mergeCell ref="B14:B15"/>
    <mergeCell ref="B16:B17"/>
    <mergeCell ref="A9:F9"/>
    <mergeCell ref="B1:D1"/>
    <mergeCell ref="B2:D2"/>
    <mergeCell ref="B3:D3"/>
    <mergeCell ref="A4:F4"/>
    <mergeCell ref="A5:F5"/>
    <mergeCell ref="A6:F6"/>
    <mergeCell ref="A7:F7"/>
    <mergeCell ref="A39:B39"/>
    <mergeCell ref="A38:B38"/>
    <mergeCell ref="A33:B33"/>
    <mergeCell ref="A34:B34"/>
    <mergeCell ref="A35:B35"/>
    <mergeCell ref="A37:B37"/>
    <mergeCell ref="A36:C36"/>
    <mergeCell ref="B30:B31"/>
    <mergeCell ref="B20:B21"/>
    <mergeCell ref="A30:A31"/>
    <mergeCell ref="A16:A17"/>
    <mergeCell ref="A18:A19"/>
    <mergeCell ref="A20:A21"/>
    <mergeCell ref="A22:A23"/>
    <mergeCell ref="A24:A25"/>
    <mergeCell ref="A26:A27"/>
    <mergeCell ref="A28:A29"/>
    <mergeCell ref="B18:B19"/>
    <mergeCell ref="B22:B23"/>
    <mergeCell ref="B28:B29"/>
    <mergeCell ref="B26:B27"/>
    <mergeCell ref="B24:B25"/>
  </mergeCells>
  <printOptions horizontalCentered="1"/>
  <pageMargins left="0.51181102362204722" right="0.51181102362204722" top="0.78740157480314965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01_PLANILHA_ADEQUAÇÃO</vt:lpstr>
      <vt:lpstr>02_COMPOSIÇÕES_UNITÁRIAS </vt:lpstr>
      <vt:lpstr>EQUILÍBRIO_FINANCEIRO</vt:lpstr>
      <vt:lpstr>CRONOGRAMA.</vt:lpstr>
      <vt:lpstr>'01_PLANILHA_ADEQUAÇÃO'!Area_de_impressao</vt:lpstr>
      <vt:lpstr>'02_COMPOSIÇÕES_UNITÁRIAS '!Area_de_impressao</vt:lpstr>
      <vt:lpstr>CRONOGRAMA.!Area_de_impressao</vt:lpstr>
      <vt:lpstr>EQUILÍBRIO_FINANCEIRO!Area_de_impressao</vt:lpstr>
      <vt:lpstr>'01_PLANILHA_ADEQUAÇÃO'!Titulos_de_impressao</vt:lpstr>
      <vt:lpstr>CRONOGRAMA.!Titulos_de_impressao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UFERSA</cp:lastModifiedBy>
  <cp:revision>0</cp:revision>
  <cp:lastPrinted>2023-01-16T19:07:05Z</cp:lastPrinted>
  <dcterms:created xsi:type="dcterms:W3CDTF">2019-05-14T12:46:20Z</dcterms:created>
  <dcterms:modified xsi:type="dcterms:W3CDTF">2023-06-12T23:21:19Z</dcterms:modified>
</cp:coreProperties>
</file>